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ilhiam.silva\Downloads\"/>
    </mc:Choice>
  </mc:AlternateContent>
  <xr:revisionPtr revIDLastSave="0" documentId="13_ncr:1_{A04076FE-A6D3-48A1-B31A-1B412BA518B9}" xr6:coauthVersionLast="47" xr6:coauthVersionMax="47" xr10:uidLastSave="{00000000-0000-0000-0000-000000000000}"/>
  <bookViews>
    <workbookView xWindow="28680" yWindow="-120" windowWidth="24240" windowHeight="13020" tabRatio="676" firstSheet="3" activeTab="12" xr2:uid="{00000000-000D-0000-FFFF-FFFF00000000}"/>
  </bookViews>
  <sheets>
    <sheet name="Informações e Resumo" sheetId="5" r:id="rId1"/>
    <sheet name="Aulas" sheetId="1" r:id="rId2"/>
    <sheet name="Projetos de Ensino" sheetId="15" r:id="rId3"/>
    <sheet name="Orientações" sheetId="7" r:id="rId4"/>
    <sheet name="Pesquisa" sheetId="2" r:id="rId5"/>
    <sheet name="Extensão" sheetId="3" r:id="rId6"/>
    <sheet name="Gestão" sheetId="4" r:id="rId7"/>
    <sheet name="Outras" sheetId="9" r:id="rId8"/>
    <sheet name="Afastamentos" sheetId="11" r:id="rId9"/>
    <sheet name="Auxiliar" sheetId="6" state="hidden" r:id="rId10"/>
    <sheet name="Remuneradas" sheetId="13" r:id="rId11"/>
    <sheet name="Observações" sheetId="16" r:id="rId12"/>
    <sheet name="Compilado" sheetId="14" r:id="rId13"/>
  </sheets>
  <definedNames>
    <definedName name="Afastamentos">Auxiliar!$H$14:$H$30</definedName>
    <definedName name="_xlnm.Print_Area" localSheetId="12">Compilado!$A$1:$O$151</definedName>
    <definedName name="_xlnm.Print_Area" localSheetId="0">'Informações e Resumo'!$A$1:$I$38</definedName>
    <definedName name="Cargo">Auxiliar!$A$1:$A$12</definedName>
    <definedName name="Cargos">Auxiliar!$A$1:$A$12</definedName>
    <definedName name="Disciplinas">Auxiliar!$E$26:$E$32</definedName>
    <definedName name="Gestão">Auxiliar!$A$2:$A$16</definedName>
    <definedName name="Gestão_cargos">Auxiliar!$A$4:$A$12</definedName>
    <definedName name="Orientação_Tipo">Auxiliar!$E$2:$E$21</definedName>
    <definedName name="Orientações">Auxiliar!$E$2:$E$20</definedName>
    <definedName name="Regimes">Auxiliar!$E$35:$E$37</definedName>
    <definedName name="_xlnm.Print_Titles" localSheetId="12">Compilado!$1:$9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D34" i="14"/>
  <c r="D33" i="14"/>
  <c r="I33" i="14"/>
  <c r="I34" i="14"/>
  <c r="I35" i="14"/>
  <c r="A33" i="14"/>
  <c r="A34" i="14"/>
  <c r="A35" i="14"/>
  <c r="P103" i="14"/>
  <c r="P101" i="14"/>
  <c r="N101" i="14" s="1"/>
  <c r="P99" i="14"/>
  <c r="N103" i="14"/>
  <c r="N99" i="14"/>
  <c r="A105" i="14"/>
  <c r="A104" i="14"/>
  <c r="A103" i="14"/>
  <c r="A102" i="14"/>
  <c r="A101" i="14"/>
  <c r="A100" i="14"/>
  <c r="A99" i="14"/>
  <c r="F19" i="15"/>
  <c r="P105" i="14" s="1"/>
  <c r="N105" i="14" s="1"/>
  <c r="F18" i="15"/>
  <c r="P104" i="14" s="1"/>
  <c r="N104" i="14" s="1"/>
  <c r="F17" i="15"/>
  <c r="F16" i="15"/>
  <c r="P102" i="14" s="1"/>
  <c r="N102" i="14" s="1"/>
  <c r="F15" i="15"/>
  <c r="F14" i="15"/>
  <c r="P100" i="14" s="1"/>
  <c r="N100" i="14" s="1"/>
  <c r="F13" i="15"/>
  <c r="P112" i="14"/>
  <c r="P111" i="14"/>
  <c r="P91" i="14"/>
  <c r="P90" i="14"/>
  <c r="P89" i="14"/>
  <c r="P88" i="14"/>
  <c r="P87" i="14"/>
  <c r="P86" i="14"/>
  <c r="P85" i="14"/>
  <c r="P79" i="14"/>
  <c r="P78" i="14"/>
  <c r="P77" i="14"/>
  <c r="P76" i="14"/>
  <c r="P75" i="14"/>
  <c r="P74" i="14"/>
  <c r="P73" i="14"/>
  <c r="P72" i="14"/>
  <c r="P71" i="14"/>
  <c r="P61" i="14"/>
  <c r="P60" i="14"/>
  <c r="P59" i="14"/>
  <c r="P58" i="14"/>
  <c r="P57" i="14"/>
  <c r="P56" i="14"/>
  <c r="P55" i="14"/>
  <c r="P23" i="14"/>
  <c r="P22" i="14"/>
  <c r="P21" i="14"/>
  <c r="P20" i="14"/>
  <c r="P19" i="14"/>
  <c r="P18" i="14"/>
  <c r="P17" i="14"/>
  <c r="P15" i="14"/>
  <c r="P49" i="14"/>
  <c r="N49" i="14" s="1"/>
  <c r="P48" i="14"/>
  <c r="N48" i="14" s="1"/>
  <c r="P47" i="14"/>
  <c r="N47" i="14" s="1"/>
  <c r="P46" i="14"/>
  <c r="N46" i="14" s="1"/>
  <c r="P45" i="14"/>
  <c r="N45" i="14" s="1"/>
  <c r="A49" i="14"/>
  <c r="A48" i="14"/>
  <c r="A47" i="14"/>
  <c r="A46" i="14"/>
  <c r="A45" i="14"/>
  <c r="A44" i="14"/>
  <c r="A43" i="14"/>
  <c r="I13" i="7"/>
  <c r="I16" i="7"/>
  <c r="I21" i="7"/>
  <c r="I22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H13" i="7"/>
  <c r="H14" i="7"/>
  <c r="I14" i="7" s="1"/>
  <c r="H15" i="7"/>
  <c r="I15" i="7" s="1"/>
  <c r="H16" i="7"/>
  <c r="H17" i="7"/>
  <c r="I17" i="7" s="1"/>
  <c r="N33" i="14" s="1"/>
  <c r="H18" i="7"/>
  <c r="I18" i="7" s="1"/>
  <c r="N34" i="14" s="1"/>
  <c r="H19" i="7"/>
  <c r="I19" i="7" s="1"/>
  <c r="N35" i="14" s="1"/>
  <c r="H20" i="7"/>
  <c r="I20" i="7" s="1"/>
  <c r="H21" i="7"/>
  <c r="H22" i="7"/>
  <c r="H23" i="7"/>
  <c r="I23" i="7" s="1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P35" i="14" l="1"/>
  <c r="K35" i="14" s="1"/>
  <c r="P34" i="14"/>
  <c r="K34" i="14" s="1"/>
  <c r="P33" i="14"/>
  <c r="K33" i="14" s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F18" i="2"/>
  <c r="F13" i="2"/>
  <c r="P43" i="14" s="1"/>
  <c r="N43" i="14" s="1"/>
  <c r="F14" i="2"/>
  <c r="P44" i="14" s="1"/>
  <c r="N44" i="14" s="1"/>
  <c r="F15" i="2"/>
  <c r="F12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5" i="14"/>
  <c r="H151" i="14" l="1"/>
  <c r="A127" i="14"/>
  <c r="H37" i="14"/>
  <c r="H65" i="14"/>
  <c r="H93" i="14"/>
  <c r="C15" i="11" l="1"/>
  <c r="C14" i="11"/>
  <c r="C13" i="11"/>
  <c r="Z16" i="1" l="1"/>
  <c r="J16" i="1" l="1"/>
  <c r="L16" i="1"/>
  <c r="M16" i="1"/>
  <c r="O16" i="1"/>
  <c r="J17" i="1"/>
  <c r="L17" i="1"/>
  <c r="M17" i="1"/>
  <c r="P16" i="14" s="1"/>
  <c r="O17" i="1"/>
  <c r="J18" i="1"/>
  <c r="L18" i="1"/>
  <c r="M18" i="1"/>
  <c r="O18" i="1"/>
  <c r="J19" i="1"/>
  <c r="L19" i="1"/>
  <c r="M19" i="1"/>
  <c r="O19" i="1"/>
  <c r="J20" i="1"/>
  <c r="L20" i="1"/>
  <c r="M20" i="1"/>
  <c r="O20" i="1"/>
  <c r="J21" i="1"/>
  <c r="L21" i="1"/>
  <c r="M21" i="1"/>
  <c r="O21" i="1"/>
  <c r="J22" i="1"/>
  <c r="L22" i="1"/>
  <c r="M22" i="1"/>
  <c r="O22" i="1"/>
  <c r="J23" i="1"/>
  <c r="L23" i="1"/>
  <c r="M23" i="1"/>
  <c r="O23" i="1"/>
  <c r="J24" i="1"/>
  <c r="L24" i="1"/>
  <c r="M24" i="1"/>
  <c r="O24" i="1"/>
  <c r="H20" i="4" l="1"/>
  <c r="H19" i="4"/>
  <c r="H17" i="4"/>
  <c r="B22" i="4"/>
  <c r="B21" i="4"/>
  <c r="B20" i="4"/>
  <c r="B19" i="4"/>
  <c r="B18" i="4"/>
  <c r="B17" i="4"/>
  <c r="B16" i="4"/>
  <c r="B15" i="4"/>
  <c r="B14" i="4"/>
  <c r="B13" i="4"/>
  <c r="A98" i="14" l="1"/>
  <c r="A117" i="14" l="1"/>
  <c r="G117" i="14"/>
  <c r="H117" i="14"/>
  <c r="A118" i="14"/>
  <c r="H118" i="14"/>
  <c r="A119" i="14"/>
  <c r="H119" i="14"/>
  <c r="A120" i="14"/>
  <c r="H120" i="14"/>
  <c r="A121" i="14"/>
  <c r="H121" i="14"/>
  <c r="B19" i="5" l="1"/>
  <c r="E19" i="15"/>
  <c r="C19" i="15"/>
  <c r="E18" i="15"/>
  <c r="C18" i="15"/>
  <c r="E17" i="15"/>
  <c r="C17" i="15"/>
  <c r="E16" i="15"/>
  <c r="C16" i="15"/>
  <c r="E15" i="15"/>
  <c r="C15" i="15"/>
  <c r="E14" i="15"/>
  <c r="C14" i="15"/>
  <c r="E13" i="15"/>
  <c r="C13" i="15"/>
  <c r="F12" i="15"/>
  <c r="P98" i="14" s="1"/>
  <c r="N98" i="14" s="1"/>
  <c r="E12" i="15"/>
  <c r="C12" i="15"/>
  <c r="K9" i="15"/>
  <c r="D20" i="5" l="1"/>
  <c r="D19" i="5" s="1"/>
  <c r="B8" i="15"/>
  <c r="F8" i="15" s="1"/>
  <c r="C8" i="15" l="1"/>
  <c r="D95" i="14" s="1"/>
  <c r="B35" i="5"/>
  <c r="G24" i="1"/>
  <c r="G23" i="1"/>
  <c r="G22" i="1"/>
  <c r="G21" i="1"/>
  <c r="G20" i="1"/>
  <c r="G19" i="1"/>
  <c r="G18" i="1"/>
  <c r="G17" i="1"/>
  <c r="G16" i="1"/>
  <c r="G15" i="1"/>
  <c r="H124" i="14"/>
  <c r="B17" i="5" l="1"/>
  <c r="B16" i="5" s="1"/>
  <c r="D32" i="14"/>
  <c r="D31" i="14"/>
  <c r="D30" i="14"/>
  <c r="D29" i="14"/>
  <c r="D28" i="14"/>
  <c r="H24" i="1" l="1"/>
  <c r="H23" i="1"/>
  <c r="H22" i="1"/>
  <c r="H21" i="1"/>
  <c r="H20" i="1"/>
  <c r="H19" i="1"/>
  <c r="H18" i="1"/>
  <c r="N18" i="1" s="1"/>
  <c r="H17" i="1"/>
  <c r="N17" i="1" s="1"/>
  <c r="H16" i="1"/>
  <c r="N16" i="1" s="1"/>
  <c r="H15" i="1"/>
  <c r="X19" i="1" l="1"/>
  <c r="N19" i="1"/>
  <c r="X23" i="1"/>
  <c r="N23" i="1"/>
  <c r="X20" i="1"/>
  <c r="N20" i="1"/>
  <c r="X24" i="1"/>
  <c r="N24" i="1"/>
  <c r="X21" i="1"/>
  <c r="N21" i="1"/>
  <c r="X22" i="1"/>
  <c r="N22" i="1"/>
  <c r="A112" i="14"/>
  <c r="A111" i="14"/>
  <c r="A110" i="14"/>
  <c r="A91" i="14"/>
  <c r="A90" i="14"/>
  <c r="A89" i="14"/>
  <c r="A88" i="14"/>
  <c r="A87" i="14"/>
  <c r="A86" i="14"/>
  <c r="A85" i="14"/>
  <c r="A84" i="14"/>
  <c r="D79" i="14"/>
  <c r="D78" i="14"/>
  <c r="D77" i="14"/>
  <c r="D76" i="14"/>
  <c r="D75" i="14"/>
  <c r="D74" i="14"/>
  <c r="D73" i="14"/>
  <c r="D72" i="14"/>
  <c r="D71" i="14"/>
  <c r="D70" i="14"/>
  <c r="A79" i="14"/>
  <c r="A78" i="14"/>
  <c r="A77" i="14"/>
  <c r="A76" i="14"/>
  <c r="A75" i="14"/>
  <c r="A74" i="14"/>
  <c r="A73" i="14"/>
  <c r="A71" i="14"/>
  <c r="A72" i="14"/>
  <c r="A70" i="14"/>
  <c r="A61" i="14"/>
  <c r="A60" i="14"/>
  <c r="A59" i="14"/>
  <c r="A58" i="14"/>
  <c r="A57" i="14"/>
  <c r="A56" i="14"/>
  <c r="A55" i="14"/>
  <c r="A54" i="14"/>
  <c r="A42" i="14"/>
  <c r="I32" i="14"/>
  <c r="I31" i="14"/>
  <c r="I30" i="14"/>
  <c r="I29" i="14"/>
  <c r="I28" i="14"/>
  <c r="A32" i="14"/>
  <c r="A31" i="14"/>
  <c r="A30" i="14"/>
  <c r="A29" i="14"/>
  <c r="A28" i="14"/>
  <c r="E23" i="14" l="1"/>
  <c r="E22" i="14"/>
  <c r="E21" i="14"/>
  <c r="E20" i="14"/>
  <c r="E19" i="14"/>
  <c r="E18" i="14"/>
  <c r="E17" i="14"/>
  <c r="E14" i="14"/>
  <c r="E15" i="14"/>
  <c r="E16" i="14"/>
  <c r="A23" i="14"/>
  <c r="A22" i="14"/>
  <c r="A21" i="14"/>
  <c r="A20" i="14"/>
  <c r="A19" i="14"/>
  <c r="A18" i="14"/>
  <c r="A17" i="14"/>
  <c r="A16" i="14"/>
  <c r="A15" i="14"/>
  <c r="I5" i="14"/>
  <c r="A14" i="14"/>
  <c r="E6" i="14"/>
  <c r="E7" i="14"/>
  <c r="E8" i="14"/>
  <c r="B27" i="5" l="1"/>
  <c r="B23" i="5"/>
  <c r="A43" i="5" l="1"/>
  <c r="J15" i="11"/>
  <c r="J14" i="11"/>
  <c r="J13" i="11"/>
  <c r="J11" i="11" l="1"/>
  <c r="I15" i="11"/>
  <c r="F112" i="14" s="1"/>
  <c r="H15" i="11"/>
  <c r="F15" i="11"/>
  <c r="I14" i="11"/>
  <c r="F111" i="14" s="1"/>
  <c r="H14" i="11"/>
  <c r="F14" i="11"/>
  <c r="I13" i="11"/>
  <c r="H13" i="11"/>
  <c r="F13" i="11"/>
  <c r="N9" i="11"/>
  <c r="D44" i="5" l="1"/>
  <c r="D43" i="5" s="1"/>
  <c r="P110" i="14"/>
  <c r="F110" i="14" s="1"/>
  <c r="I9" i="11"/>
  <c r="K9" i="11" s="1"/>
  <c r="F8" i="9"/>
  <c r="J9" i="11" l="1"/>
  <c r="D107" i="14" s="1"/>
  <c r="B31" i="5"/>
  <c r="H21" i="9"/>
  <c r="K91" i="14" s="1"/>
  <c r="G21" i="9"/>
  <c r="E21" i="9"/>
  <c r="H20" i="9"/>
  <c r="K90" i="14" s="1"/>
  <c r="G20" i="9"/>
  <c r="E20" i="9"/>
  <c r="H19" i="9"/>
  <c r="K89" i="14" s="1"/>
  <c r="G19" i="9"/>
  <c r="E19" i="9"/>
  <c r="H18" i="9"/>
  <c r="K88" i="14" s="1"/>
  <c r="G18" i="9"/>
  <c r="E18" i="9"/>
  <c r="H17" i="9"/>
  <c r="K87" i="14" s="1"/>
  <c r="G17" i="9"/>
  <c r="E17" i="9"/>
  <c r="H16" i="9"/>
  <c r="K86" i="14" s="1"/>
  <c r="G16" i="9"/>
  <c r="E16" i="9"/>
  <c r="H15" i="9"/>
  <c r="K85" i="14" s="1"/>
  <c r="G15" i="9"/>
  <c r="E15" i="9"/>
  <c r="H14" i="9"/>
  <c r="P84" i="14" s="1"/>
  <c r="K84" i="14" s="1"/>
  <c r="G14" i="9"/>
  <c r="E14" i="9"/>
  <c r="G8" i="9"/>
  <c r="G15" i="14"/>
  <c r="Z17" i="1"/>
  <c r="G16" i="14" s="1"/>
  <c r="Z18" i="1"/>
  <c r="AA15" i="1" s="1"/>
  <c r="Z19" i="1"/>
  <c r="G18" i="14" s="1"/>
  <c r="Z20" i="1"/>
  <c r="G19" i="14" s="1"/>
  <c r="Z21" i="1"/>
  <c r="G20" i="14" s="1"/>
  <c r="Z22" i="1"/>
  <c r="G21" i="14" s="1"/>
  <c r="Z23" i="1"/>
  <c r="G22" i="14" s="1"/>
  <c r="Z24" i="1"/>
  <c r="G23" i="14" s="1"/>
  <c r="Z15" i="1"/>
  <c r="B39" i="5"/>
  <c r="K9" i="2"/>
  <c r="E12" i="2"/>
  <c r="C12" i="2"/>
  <c r="G14" i="14" l="1"/>
  <c r="F26" i="1"/>
  <c r="A16" i="5" s="1"/>
  <c r="D32" i="5"/>
  <c r="G17" i="14"/>
  <c r="AA16" i="1"/>
  <c r="Z12" i="1"/>
  <c r="F9" i="9"/>
  <c r="G9" i="9" s="1"/>
  <c r="F10" i="9" l="1"/>
  <c r="G10" i="9" s="1"/>
  <c r="D81" i="14" s="1"/>
  <c r="G11" i="14"/>
  <c r="H15" i="14"/>
  <c r="H17" i="14"/>
  <c r="H18" i="14"/>
  <c r="H19" i="14"/>
  <c r="H20" i="14"/>
  <c r="H21" i="14"/>
  <c r="H22" i="14"/>
  <c r="H23" i="14"/>
  <c r="H14" i="14" l="1"/>
  <c r="J15" i="1"/>
  <c r="I17" i="4"/>
  <c r="N74" i="14" s="1"/>
  <c r="I19" i="4"/>
  <c r="N76" i="14" s="1"/>
  <c r="I20" i="4"/>
  <c r="N77" i="14" s="1"/>
  <c r="H16" i="14" l="1"/>
  <c r="K8" i="3"/>
  <c r="N8" i="7"/>
  <c r="D10" i="1"/>
  <c r="W21" i="1" l="1"/>
  <c r="W22" i="1"/>
  <c r="N21" i="14" l="1"/>
  <c r="W24" i="1"/>
  <c r="N23" i="14" s="1"/>
  <c r="W20" i="1"/>
  <c r="N19" i="14" s="1"/>
  <c r="W23" i="1"/>
  <c r="N22" i="14" s="1"/>
  <c r="W19" i="1"/>
  <c r="N18" i="14" s="1"/>
  <c r="N20" i="14"/>
  <c r="E20" i="4"/>
  <c r="G20" i="4"/>
  <c r="E21" i="4"/>
  <c r="G21" i="4"/>
  <c r="E22" i="4"/>
  <c r="G22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C15" i="3"/>
  <c r="E15" i="3"/>
  <c r="F15" i="3"/>
  <c r="N57" i="14" s="1"/>
  <c r="C16" i="3"/>
  <c r="E16" i="3"/>
  <c r="F16" i="3"/>
  <c r="N58" i="14" s="1"/>
  <c r="C17" i="3"/>
  <c r="E17" i="3"/>
  <c r="F17" i="3"/>
  <c r="N59" i="14" s="1"/>
  <c r="C18" i="3"/>
  <c r="E18" i="3"/>
  <c r="F18" i="3"/>
  <c r="N60" i="14" s="1"/>
  <c r="C19" i="3"/>
  <c r="E19" i="3"/>
  <c r="F19" i="3"/>
  <c r="N61" i="14" s="1"/>
  <c r="F13" i="3"/>
  <c r="N55" i="14" s="1"/>
  <c r="F14" i="3"/>
  <c r="N56" i="14" s="1"/>
  <c r="F12" i="3"/>
  <c r="P54" i="14" s="1"/>
  <c r="N54" i="14" s="1"/>
  <c r="E14" i="3"/>
  <c r="C14" i="3"/>
  <c r="E13" i="3"/>
  <c r="C13" i="3"/>
  <c r="E12" i="3"/>
  <c r="C12" i="3"/>
  <c r="P42" i="14"/>
  <c r="N42" i="14" s="1"/>
  <c r="N32" i="14"/>
  <c r="P29" i="14"/>
  <c r="K29" i="14" s="1"/>
  <c r="P30" i="14"/>
  <c r="K30" i="14" s="1"/>
  <c r="P32" i="14"/>
  <c r="K32" i="14" s="1"/>
  <c r="H12" i="7"/>
  <c r="G12" i="7"/>
  <c r="E12" i="7"/>
  <c r="D36" i="5" l="1"/>
  <c r="D35" i="5" s="1"/>
  <c r="P28" i="14"/>
  <c r="K28" i="14" s="1"/>
  <c r="N31" i="14"/>
  <c r="P31" i="14"/>
  <c r="K31" i="14" s="1"/>
  <c r="D40" i="5"/>
  <c r="N30" i="14"/>
  <c r="B8" i="2"/>
  <c r="F8" i="2" s="1"/>
  <c r="I12" i="7"/>
  <c r="N28" i="14" s="1"/>
  <c r="N29" i="14"/>
  <c r="D24" i="5"/>
  <c r="F8" i="3"/>
  <c r="H8" i="7"/>
  <c r="S16" i="1"/>
  <c r="S17" i="1"/>
  <c r="S18" i="1"/>
  <c r="S19" i="1"/>
  <c r="S20" i="1"/>
  <c r="S21" i="1"/>
  <c r="S22" i="1"/>
  <c r="S23" i="1"/>
  <c r="S24" i="1"/>
  <c r="Q16" i="1"/>
  <c r="Q17" i="1"/>
  <c r="Q18" i="1"/>
  <c r="Q19" i="1"/>
  <c r="Q20" i="1"/>
  <c r="Q21" i="1"/>
  <c r="Q22" i="1"/>
  <c r="Q23" i="1"/>
  <c r="Q24" i="1"/>
  <c r="S15" i="1"/>
  <c r="L15" i="1"/>
  <c r="Q15" i="1"/>
  <c r="T24" i="1"/>
  <c r="T23" i="1"/>
  <c r="T22" i="1"/>
  <c r="T21" i="1"/>
  <c r="T20" i="1"/>
  <c r="T19" i="1"/>
  <c r="T18" i="1"/>
  <c r="T17" i="1"/>
  <c r="U17" i="1" s="1"/>
  <c r="T16" i="1"/>
  <c r="T15" i="1"/>
  <c r="O15" i="1"/>
  <c r="J18" i="14"/>
  <c r="J19" i="14"/>
  <c r="J20" i="14"/>
  <c r="J21" i="14"/>
  <c r="J22" i="14"/>
  <c r="J23" i="14"/>
  <c r="M15" i="1"/>
  <c r="V20" i="1"/>
  <c r="V21" i="1"/>
  <c r="V22" i="1"/>
  <c r="V23" i="1"/>
  <c r="V24" i="1"/>
  <c r="Q17" i="14" l="1"/>
  <c r="L17" i="14" s="1"/>
  <c r="U18" i="1"/>
  <c r="Q21" i="14"/>
  <c r="L21" i="14" s="1"/>
  <c r="U22" i="1"/>
  <c r="Q14" i="14"/>
  <c r="L14" i="14" s="1"/>
  <c r="U15" i="1"/>
  <c r="Q18" i="14"/>
  <c r="L18" i="14" s="1"/>
  <c r="U19" i="1"/>
  <c r="Q22" i="14"/>
  <c r="L22" i="14" s="1"/>
  <c r="U23" i="1"/>
  <c r="Q19" i="14"/>
  <c r="L19" i="14" s="1"/>
  <c r="U20" i="1"/>
  <c r="Q23" i="14"/>
  <c r="L23" i="14" s="1"/>
  <c r="U24" i="1"/>
  <c r="Q20" i="14"/>
  <c r="L20" i="14" s="1"/>
  <c r="U21" i="1"/>
  <c r="Q15" i="14"/>
  <c r="L15" i="14" s="1"/>
  <c r="U16" i="1"/>
  <c r="J16" i="14"/>
  <c r="J15" i="14"/>
  <c r="P14" i="14"/>
  <c r="J14" i="14" s="1"/>
  <c r="N15" i="1"/>
  <c r="J17" i="14"/>
  <c r="W18" i="1"/>
  <c r="X18" i="1" s="1"/>
  <c r="N17" i="14" s="1"/>
  <c r="Q16" i="14"/>
  <c r="L16" i="14" s="1"/>
  <c r="W17" i="1"/>
  <c r="X17" i="1" s="1"/>
  <c r="D39" i="5"/>
  <c r="C8" i="2"/>
  <c r="D39" i="14" s="1"/>
  <c r="G8" i="3"/>
  <c r="D51" i="14" s="1"/>
  <c r="H8" i="3"/>
  <c r="I8" i="7"/>
  <c r="D25" i="14" s="1"/>
  <c r="J8" i="7"/>
  <c r="W15" i="1"/>
  <c r="W16" i="1"/>
  <c r="X16" i="1" s="1"/>
  <c r="V17" i="1"/>
  <c r="V16" i="1"/>
  <c r="P25" i="1" l="1"/>
  <c r="P28" i="1" s="1"/>
  <c r="I25" i="1"/>
  <c r="I27" i="1" s="1"/>
  <c r="X15" i="1"/>
  <c r="N14" i="14" s="1"/>
  <c r="E17" i="5"/>
  <c r="E16" i="5" s="1"/>
  <c r="N16" i="14"/>
  <c r="N15" i="14"/>
  <c r="V15" i="1"/>
  <c r="V18" i="1"/>
  <c r="V19" i="1"/>
  <c r="G10" i="1"/>
  <c r="H10" i="1" s="1"/>
  <c r="D17" i="5" l="1"/>
  <c r="C16" i="5" s="1"/>
  <c r="H11" i="14"/>
  <c r="W10" i="1"/>
  <c r="X10" i="1" l="1"/>
  <c r="O11" i="14" s="1"/>
  <c r="Y10" i="1"/>
  <c r="B9" i="4" l="1"/>
  <c r="H21" i="4" l="1"/>
  <c r="I21" i="4" s="1"/>
  <c r="N78" i="14" s="1"/>
  <c r="H22" i="4"/>
  <c r="I22" i="4" s="1"/>
  <c r="N79" i="14" s="1"/>
  <c r="H16" i="4"/>
  <c r="H18" i="4"/>
  <c r="I18" i="4" s="1"/>
  <c r="N75" i="14" s="1"/>
  <c r="H14" i="4"/>
  <c r="I14" i="4" s="1"/>
  <c r="N71" i="14" s="1"/>
  <c r="H13" i="4"/>
  <c r="I13" i="4" s="1"/>
  <c r="P70" i="14" s="1"/>
  <c r="N70" i="14" s="1"/>
  <c r="H15" i="4"/>
  <c r="I15" i="4" s="1"/>
  <c r="N72" i="14" s="1"/>
  <c r="C10" i="1"/>
  <c r="I10" i="1" s="1"/>
  <c r="I16" i="4"/>
  <c r="N73" i="14" s="1"/>
  <c r="D23" i="5"/>
  <c r="D28" i="5" l="1"/>
  <c r="H9" i="5" s="1"/>
  <c r="J9" i="4"/>
  <c r="G9" i="4" s="1"/>
  <c r="D67" i="14" s="1"/>
  <c r="D31" i="5"/>
  <c r="L8" i="14" l="1"/>
  <c r="F9" i="5"/>
  <c r="A2" i="16" s="1"/>
  <c r="D27" i="5"/>
  <c r="A2" i="15" l="1"/>
  <c r="K8" i="14" l="1"/>
  <c r="A2" i="13"/>
  <c r="A2" i="2"/>
  <c r="A2" i="11"/>
  <c r="A2" i="9"/>
  <c r="A2" i="3"/>
  <c r="A2" i="7"/>
  <c r="A2" i="4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100-000001000000}">
      <text>
        <r>
          <rPr>
            <sz val="9"/>
            <color indexed="81"/>
            <rFont val="Segoe UI"/>
            <family val="2"/>
          </rPr>
          <t>Digite o nome ou 
código da disciplina</t>
        </r>
      </text>
    </comment>
    <comment ref="B12" authorId="0" shapeId="0" xr:uid="{00000000-0006-0000-0100-000002000000}">
      <text>
        <r>
          <rPr>
            <sz val="9"/>
            <color indexed="81"/>
            <rFont val="Segoe UI"/>
            <family val="2"/>
          </rPr>
          <t>Selecione o tipo de disciplina</t>
        </r>
      </text>
    </comment>
    <comment ref="C12" authorId="0" shapeId="0" xr:uid="{00000000-0006-0000-0100-000003000000}">
      <text>
        <r>
          <rPr>
            <sz val="9"/>
            <color indexed="81"/>
            <rFont val="Segoe UI"/>
            <family val="2"/>
          </rPr>
          <t>Digite o número de aulas semanais por turma</t>
        </r>
      </text>
    </comment>
    <comment ref="D12" authorId="0" shapeId="0" xr:uid="{00000000-0006-0000-0100-000004000000}">
      <text>
        <r>
          <rPr>
            <sz val="9"/>
            <color indexed="81"/>
            <rFont val="Segoe UI"/>
            <family val="2"/>
          </rPr>
          <t>Informe o número de turmas teóricas</t>
        </r>
      </text>
    </comment>
    <comment ref="E12" authorId="0" shapeId="0" xr:uid="{00000000-0006-0000-0100-000005000000}">
      <text>
        <r>
          <rPr>
            <sz val="9"/>
            <color indexed="81"/>
            <rFont val="Segoe UI"/>
            <family val="2"/>
          </rPr>
          <t>Digite o número de aulas práticas por turma</t>
        </r>
      </text>
    </comment>
    <comment ref="F12" authorId="0" shapeId="0" xr:uid="{00000000-0006-0000-0100-000006000000}">
      <text>
        <r>
          <rPr>
            <sz val="9"/>
            <color indexed="81"/>
            <rFont val="Segoe UI"/>
            <family val="2"/>
          </rPr>
          <t>Informe o número de turmas práticas</t>
        </r>
      </text>
    </comment>
    <comment ref="I14" authorId="0" shapeId="0" xr:uid="{00000000-0006-0000-0100-000007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2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2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300-000001000000}">
      <text>
        <r>
          <rPr>
            <sz val="9"/>
            <color indexed="81"/>
            <rFont val="Segoe UI"/>
            <family val="2"/>
          </rPr>
          <t>Escolha na lista o tipo de orientação</t>
        </r>
      </text>
    </comment>
    <comment ref="C10" authorId="0" shapeId="0" xr:uid="{00000000-0006-0000-0300-000002000000}">
      <text>
        <r>
          <rPr>
            <sz val="9"/>
            <color indexed="81"/>
            <rFont val="Segoe UI"/>
            <family val="2"/>
          </rPr>
          <t>Informe a quantidade prevista de orientações deste tipo</t>
        </r>
      </text>
    </comment>
    <comment ref="D10" authorId="0" shapeId="0" xr:uid="{00000000-0006-0000-03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4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4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500-000001000000}">
      <text>
        <r>
          <rPr>
            <sz val="9"/>
            <color indexed="81"/>
            <rFont val="Segoe UI"/>
            <family val="2"/>
          </rPr>
          <t>Informe a descrição da atividade de extensão</t>
        </r>
      </text>
    </comment>
    <comment ref="B10" authorId="0" shapeId="0" xr:uid="{00000000-0006-0000-05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600-000001000000}">
      <text>
        <r>
          <rPr>
            <sz val="9"/>
            <color indexed="81"/>
            <rFont val="Segoe UI"/>
            <family val="2"/>
          </rPr>
          <t>Selecione o tipo de atividade na lista</t>
        </r>
      </text>
    </comment>
    <comment ref="C11" authorId="0" shapeId="0" xr:uid="{00000000-0006-0000-0600-000002000000}">
      <text>
        <r>
          <rPr>
            <sz val="9"/>
            <color indexed="81"/>
            <rFont val="Segoe UI"/>
            <family val="2"/>
          </rPr>
          <t>Informe detalhes sobre a atividade e/ou local de exercício</t>
        </r>
      </text>
    </comment>
    <comment ref="D11" authorId="0" shapeId="0" xr:uid="{00000000-0006-0000-06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700-000001000000}">
      <text>
        <r>
          <rPr>
            <sz val="9"/>
            <color indexed="81"/>
            <rFont val="Segoe UI"/>
            <family val="2"/>
          </rPr>
          <t>Informe a descrição da atividade</t>
        </r>
      </text>
    </comment>
    <comment ref="D12" authorId="0" shapeId="0" xr:uid="{00000000-0006-0000-07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800-000001000000}">
      <text>
        <r>
          <rPr>
            <sz val="9"/>
            <color indexed="81"/>
            <rFont val="Segoe UI"/>
            <family val="2"/>
          </rPr>
          <t>Selecione o tipo de afastamento ou licença</t>
        </r>
      </text>
    </comment>
    <comment ref="E11" authorId="0" shapeId="0" xr:uid="{00000000-0006-0000-08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sharedStrings.xml><?xml version="1.0" encoding="utf-8"?>
<sst xmlns="http://schemas.openxmlformats.org/spreadsheetml/2006/main" count="328" uniqueCount="222">
  <si>
    <t>CH semanal</t>
  </si>
  <si>
    <t>Disciplina</t>
  </si>
  <si>
    <t>Semestre:</t>
  </si>
  <si>
    <t>Tipo</t>
  </si>
  <si>
    <t>Diretor</t>
  </si>
  <si>
    <t>Membro Colegiado</t>
  </si>
  <si>
    <t>Membro NDE</t>
  </si>
  <si>
    <t>Membro Conselho</t>
  </si>
  <si>
    <t>Reitor</t>
  </si>
  <si>
    <t>Pró-Reitor</t>
  </si>
  <si>
    <t>Vice-Reitor</t>
  </si>
  <si>
    <t>Cargos</t>
  </si>
  <si>
    <t xml:space="preserve">Tipo </t>
  </si>
  <si>
    <t>Iniciação Científica</t>
  </si>
  <si>
    <t>Monitoria</t>
  </si>
  <si>
    <t>Mestrado</t>
  </si>
  <si>
    <t>Doutorado</t>
  </si>
  <si>
    <t>Qtde</t>
  </si>
  <si>
    <t>Docente:</t>
  </si>
  <si>
    <t>Ano:</t>
  </si>
  <si>
    <t>Preparação</t>
  </si>
  <si>
    <t>Turma principal</t>
  </si>
  <si>
    <t>Turma secundária (abaixo de X alunos)</t>
  </si>
  <si>
    <t>Turma secundária (igual ou acima de X alunos)</t>
  </si>
  <si>
    <t>Ensino</t>
  </si>
  <si>
    <t>Pós-Graduação</t>
  </si>
  <si>
    <t>Turma padrão teórica (alunos)</t>
  </si>
  <si>
    <t>Turma padrão práticas (alunos)</t>
  </si>
  <si>
    <t>Estágio</t>
  </si>
  <si>
    <t>TCC</t>
  </si>
  <si>
    <t>Qtde prevista</t>
  </si>
  <si>
    <t>Especialização</t>
  </si>
  <si>
    <t>Atendimento</t>
  </si>
  <si>
    <t>Turma principal (uma apenas)</t>
  </si>
  <si>
    <t>CH total</t>
  </si>
  <si>
    <t>CH total
semanal</t>
  </si>
  <si>
    <t>UNIVERSIDADE FEDERAL DE UBERLÂNDIA</t>
  </si>
  <si>
    <t>PLANO DE TRABALHO DOCENTE</t>
  </si>
  <si>
    <t>Extensão</t>
  </si>
  <si>
    <t xml:space="preserve">CH total </t>
  </si>
  <si>
    <t>Gestão</t>
  </si>
  <si>
    <t>PET (tutoria)</t>
  </si>
  <si>
    <t>PET (orientação)</t>
  </si>
  <si>
    <t>% CH</t>
  </si>
  <si>
    <t>Carga Horária Semanal Total Registrada</t>
  </si>
  <si>
    <t>Coordenador com FUC</t>
  </si>
  <si>
    <t>Coordenador sem FUC</t>
  </si>
  <si>
    <t>Limite de pontos ref. CH física [%]</t>
  </si>
  <si>
    <t>Membro comissão interna</t>
  </si>
  <si>
    <t>Membro comissão externa</t>
  </si>
  <si>
    <t>suf</t>
  </si>
  <si>
    <t>Pós-Doutorado</t>
  </si>
  <si>
    <t>40 horas / DE</t>
  </si>
  <si>
    <t>40 horas</t>
  </si>
  <si>
    <t>20 horas</t>
  </si>
  <si>
    <t>Horas consideradas:</t>
  </si>
  <si>
    <t>Total descrito:</t>
  </si>
  <si>
    <t>Outras Atividades</t>
  </si>
  <si>
    <t>Disciplina de Estudo Dirigido</t>
  </si>
  <si>
    <t>(obs.: '1' em suf implica em diversos cargos já inclusos)</t>
  </si>
  <si>
    <t>Semestre</t>
  </si>
  <si>
    <t>Educação Infantil</t>
  </si>
  <si>
    <t>Ensino Técnico</t>
  </si>
  <si>
    <t>Total parcial com ensino:</t>
  </si>
  <si>
    <t>Total parcial com orientações:</t>
  </si>
  <si>
    <t>prevista</t>
  </si>
  <si>
    <t>mínima</t>
  </si>
  <si>
    <t>máxima</t>
  </si>
  <si>
    <t>Carga horária aulas</t>
  </si>
  <si>
    <t>Carga horária atendimento</t>
  </si>
  <si>
    <t>Carga horária preparação</t>
  </si>
  <si>
    <t>Carga Horária Total</t>
  </si>
  <si>
    <t>Regime de trabalho:</t>
  </si>
  <si>
    <t>Carga Horária
por orientação</t>
  </si>
  <si>
    <t>Orientações</t>
  </si>
  <si>
    <t>Carga Horária estimada</t>
  </si>
  <si>
    <t>Total parcial:</t>
  </si>
  <si>
    <t>Descrição</t>
  </si>
  <si>
    <t>Qtde aulas</t>
  </si>
  <si>
    <t>Máximo:</t>
  </si>
  <si>
    <t>Carga Horária Semanal:</t>
  </si>
  <si>
    <t>PIBID</t>
  </si>
  <si>
    <t>Exemplo 1</t>
  </si>
  <si>
    <t>Especificação</t>
  </si>
  <si>
    <t>estimada</t>
  </si>
  <si>
    <t>Carga Horária</t>
  </si>
  <si>
    <t>Curso de Graduação X</t>
  </si>
  <si>
    <t>Avaliação docente</t>
  </si>
  <si>
    <t>Exemplo 2</t>
  </si>
  <si>
    <t>Descrição da atividade</t>
  </si>
  <si>
    <t>Conselho da Faculdade X</t>
  </si>
  <si>
    <t>Orientações Gerais</t>
  </si>
  <si>
    <t>será apresentada uma mensagem de erro.</t>
  </si>
  <si>
    <t>Exemplo</t>
  </si>
  <si>
    <t>Outro exemplo</t>
  </si>
  <si>
    <t>horas</t>
  </si>
  <si>
    <t>minutos</t>
  </si>
  <si>
    <t>Outras atividades</t>
  </si>
  <si>
    <t>Graduação</t>
  </si>
  <si>
    <t>Turmas teóricas</t>
  </si>
  <si>
    <t>Turmas práticas</t>
  </si>
  <si>
    <t>Atividades de Orientação</t>
  </si>
  <si>
    <t>Atividades de Ensino</t>
  </si>
  <si>
    <t>Na primeira coluna descreva a atividade ou projeto. Na segunda informe a carga horária estimada.</t>
  </si>
  <si>
    <t>As cargas horárias devem ser informadas em horas e minutos (Exemplo: 1 h 30 min ou 2 h 0 min), nas duas colunas indicadas.</t>
  </si>
  <si>
    <t>Caso o total parcial seja superior ao máximo semanal, será exibida uma mensagem em vermelho</t>
  </si>
  <si>
    <t>Pesquisa</t>
  </si>
  <si>
    <t>Exemplo ABC</t>
  </si>
  <si>
    <t>Atividades de Pesquisa</t>
  </si>
  <si>
    <t>João da Silva</t>
  </si>
  <si>
    <t>Projeto XYZ</t>
  </si>
  <si>
    <t>Atividades de Extensão</t>
  </si>
  <si>
    <t>Atividades de Gestão</t>
  </si>
  <si>
    <t>2. Preencha em cada tabela as informações referentes a cada tipo de atividade.</t>
  </si>
  <si>
    <t>Informe a duração de cada atividade em horas e minutos, nas colunas indicadas</t>
  </si>
  <si>
    <t>Caso o total parcial daquele tipo de atividade exceda o máximo semanal,</t>
  </si>
  <si>
    <t>3. Ao final, salve o arquivo com seu nome e a indicação do ano e/ou semestre.</t>
  </si>
  <si>
    <t>Ao final será exibido o tempo total de cada disciplina, e no alto o total de tempo em sala de aula e o total geral com ensino. Caso algum destes seja maior do que o máximo, será exibida uma mensagem em vermelho.</t>
  </si>
  <si>
    <t>Na primeira coluna, escolha o tipo de orientação. Na segunda informe a quantidade de alunos previstos daquele tipo, e em seguida a carga horária prevista por orientação.</t>
  </si>
  <si>
    <t>Na primeira coluna, selecione o tipo de atividade de gestão/representação. Na segunda informe a descrição (qual o curso, Unidade, Conselho, etc).</t>
  </si>
  <si>
    <t>Em seguida informe a carga horária estimada para cada atividade. Algumas opções impedem o registro de outras atividades, como Coordenador com FUC, Diretor, Pró-Reitor e Reitor.</t>
  </si>
  <si>
    <t>A somatória das cargas horárias aqui descritas não deve ultrapassar 10% da carga horária semanal.</t>
  </si>
  <si>
    <t>Na primeira coluna, especifique a atividade. Em seguida informe a carga horária prevista.</t>
  </si>
  <si>
    <t>As cargas horárias devem ser informadas em horas e minutos (Exemplo: 1 h 30 min ou 2 h 0 min), digitando apenas os números nas duas colunas de cada parte.</t>
  </si>
  <si>
    <t>Afastamentos/Licenças</t>
  </si>
  <si>
    <t>Afastamento Integral para Pós-Graduação</t>
  </si>
  <si>
    <t>Afastamento Parcial para Pós-Graduação</t>
  </si>
  <si>
    <t>Licença para Capacitação</t>
  </si>
  <si>
    <t>Licença Prêmio</t>
  </si>
  <si>
    <t>Cessão para outro órgão</t>
  </si>
  <si>
    <t>Colaboração em outra Instituição</t>
  </si>
  <si>
    <t>Licença para Serviço Militar</t>
  </si>
  <si>
    <t>Licença para Atividade Política</t>
  </si>
  <si>
    <t>Licença para Tratar de Interesses Particulares</t>
  </si>
  <si>
    <t>Licença para acompanhamento de cônjuge</t>
  </si>
  <si>
    <t>Licença para Mandato Classista</t>
  </si>
  <si>
    <t>Afastamento para Mandato Eletivo</t>
  </si>
  <si>
    <t>Colaboração Técnica ao Ministério da Educação</t>
  </si>
  <si>
    <t>Na primeira coluna escolha o tipo de afastamento.</t>
  </si>
  <si>
    <t>Afastamento</t>
  </si>
  <si>
    <t>Unidade:</t>
  </si>
  <si>
    <t>Faculdade X</t>
  </si>
  <si>
    <t>Atividades profissionais internas ou externas à UFU, com remuneração suplementar</t>
  </si>
  <si>
    <t>Informe a descrição da atividade, o local de realização e os horários, para verificação da compatibilidade.</t>
  </si>
  <si>
    <t>Local</t>
  </si>
  <si>
    <t>Horários</t>
  </si>
  <si>
    <t>Locais</t>
  </si>
  <si>
    <t>UFU</t>
  </si>
  <si>
    <t>Externo</t>
  </si>
  <si>
    <t>Carga horária semanal:</t>
  </si>
  <si>
    <t>Universidade Federal de Uberlândia</t>
  </si>
  <si>
    <t>Plano de Trabalho Docente</t>
  </si>
  <si>
    <t>Tempo aulas</t>
  </si>
  <si>
    <t>Tempo atendimento</t>
  </si>
  <si>
    <t>Tempo preparação</t>
  </si>
  <si>
    <t>Tempo total</t>
  </si>
  <si>
    <t>Estágio Docência</t>
  </si>
  <si>
    <t>Quantidade</t>
  </si>
  <si>
    <t>Tempo por orientação</t>
  </si>
  <si>
    <t>Afastamentos</t>
  </si>
  <si>
    <t>Atividades com remuneração suplementar</t>
  </si>
  <si>
    <t>Plantão Hospital Veterinário</t>
  </si>
  <si>
    <t>Segunda-feira, 12:00-24:00</t>
  </si>
  <si>
    <t>Chefe de Gabinete do Reitor</t>
  </si>
  <si>
    <t>Assessor Unidade Especial</t>
  </si>
  <si>
    <t>Licença Médica</t>
  </si>
  <si>
    <t>Licença Maternidade</t>
  </si>
  <si>
    <t>Tutor empresa júnior</t>
  </si>
  <si>
    <t>Substituto(a) Legal do Diretor</t>
  </si>
  <si>
    <t>Residência Pedagógica</t>
  </si>
  <si>
    <t>Readaptação</t>
  </si>
  <si>
    <t>Primeiro preencha o nome ou código da disciplina. Em seguida selecione o tipo e informe, a quantidade de aulas por turma e quantidade de turmas teóricas e/ou práticas. Informe a carga horária de atendimento da disciplina,</t>
  </si>
  <si>
    <t>e por último a carga horária prevista de preparação de aulas, correção de provas e elaboração de material didático.</t>
  </si>
  <si>
    <t>Observação/Especificação</t>
  </si>
  <si>
    <t>Outro</t>
  </si>
  <si>
    <t>Observação/Espec.</t>
  </si>
  <si>
    <t>Residência Médica</t>
  </si>
  <si>
    <t>Residência Multiprofissional</t>
  </si>
  <si>
    <t>Ensino Fundamental - 1º ao 3º ano</t>
  </si>
  <si>
    <t>Ensino Fundamental - 4º ao 9º ano</t>
  </si>
  <si>
    <t>PROEJA</t>
  </si>
  <si>
    <t>Regime</t>
  </si>
  <si>
    <t>Aulas teóricas semanais por turma</t>
  </si>
  <si>
    <t>Aulas práticas semanais por turma</t>
  </si>
  <si>
    <t>Tempo total com aulas:</t>
  </si>
  <si>
    <t>Total de aulas:</t>
  </si>
  <si>
    <t>CH aulas</t>
  </si>
  <si>
    <t>CH preparação</t>
  </si>
  <si>
    <t>e atendimento</t>
  </si>
  <si>
    <t>Orientações/Supervisões</t>
  </si>
  <si>
    <t>CH Total</t>
  </si>
  <si>
    <t>4. Salve/imprima um arquivo PDF a partir da aba Compilado.</t>
  </si>
  <si>
    <t>Bolsista</t>
  </si>
  <si>
    <t>Orientação/Supervisão</t>
  </si>
  <si>
    <t>Projetos de ensino</t>
  </si>
  <si>
    <t>Projetos de Ensino</t>
  </si>
  <si>
    <t>Total aulas:</t>
  </si>
  <si>
    <t>Aulas</t>
  </si>
  <si>
    <t>Período</t>
  </si>
  <si>
    <t>Informe a carga horária em horas e minutos (Exemplo: 1 h 30 min ou 2 h 0 min), nas duas colunas indicadas, no caso de afastamento parcial.</t>
  </si>
  <si>
    <t>Em seguida informe o período da licença ou afastamento. Na coluna B a data de início e na coluna D a data de fim.</t>
  </si>
  <si>
    <t>Licença Paternidade</t>
  </si>
  <si>
    <t>Observações</t>
  </si>
  <si>
    <t>Preencha abaixo alguma informação adicional ou observação referente ao plano</t>
  </si>
  <si>
    <t>Página 1 de 5</t>
  </si>
  <si>
    <t>Página 2 de 5</t>
  </si>
  <si>
    <t>Página 3 de 5</t>
  </si>
  <si>
    <t>Página 4 de 5</t>
  </si>
  <si>
    <t>Página 5 de 5</t>
  </si>
  <si>
    <t>Resolução CONDIR nº 02/2018</t>
  </si>
  <si>
    <t>Calendários letivos:</t>
  </si>
  <si>
    <t>Resolução CONDIR nº 2/2018</t>
  </si>
  <si>
    <t xml:space="preserve"> </t>
  </si>
  <si>
    <r>
      <t xml:space="preserve">1. Preencha o ano, </t>
    </r>
    <r>
      <rPr>
        <b/>
        <sz val="11"/>
        <color theme="1"/>
        <rFont val="Calibri"/>
        <family val="2"/>
        <scheme val="minor"/>
      </rPr>
      <t>semestre no ano civil referente ao momento da entrega (</t>
    </r>
    <r>
      <rPr>
        <b/>
        <i/>
        <sz val="11"/>
        <color theme="1"/>
        <rFont val="Calibri"/>
        <family val="2"/>
        <scheme val="minor"/>
      </rPr>
      <t>não é semestre letivo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, seu nome e regime de trabalho</t>
    </r>
  </si>
  <si>
    <r>
      <rPr>
        <b/>
        <u/>
        <sz val="11"/>
        <rFont val="Calibri"/>
        <family val="2"/>
        <scheme val="minor"/>
      </rPr>
      <t>ESEBA</t>
    </r>
    <r>
      <rPr>
        <b/>
        <sz val="11"/>
        <rFont val="Calibri"/>
        <family val="2"/>
        <scheme val="minor"/>
      </rPr>
      <t>: 04/08/2025 a 14/01/2026</t>
    </r>
  </si>
  <si>
    <r>
      <rPr>
        <b/>
        <u/>
        <sz val="10"/>
        <color rgb="FFFF0000"/>
        <rFont val="Calibri"/>
        <family val="2"/>
        <scheme val="minor"/>
      </rPr>
      <t>Período Letivo 2025/2 ESEBA</t>
    </r>
    <r>
      <rPr>
        <b/>
        <sz val="10"/>
        <color rgb="FFFF0000"/>
        <rFont val="Calibri"/>
        <family val="2"/>
        <scheme val="minor"/>
      </rPr>
      <t>: 04/08/2025 a 14/01/2026</t>
    </r>
  </si>
  <si>
    <r>
      <rPr>
        <b/>
        <u/>
        <sz val="11"/>
        <rFont val="Calibri"/>
        <family val="2"/>
        <scheme val="minor"/>
      </rPr>
      <t>Graduação</t>
    </r>
    <r>
      <rPr>
        <b/>
        <sz val="11"/>
        <rFont val="Calibri"/>
        <family val="2"/>
        <scheme val="minor"/>
      </rPr>
      <t>: 13/10/2025 a 27/03/2026</t>
    </r>
  </si>
  <si>
    <r>
      <rPr>
        <b/>
        <u/>
        <sz val="11"/>
        <rFont val="Calibri"/>
        <family val="2"/>
        <scheme val="minor"/>
      </rPr>
      <t>Pós-Graduação</t>
    </r>
    <r>
      <rPr>
        <b/>
        <sz val="11"/>
        <rFont val="Calibri"/>
        <family val="2"/>
        <scheme val="minor"/>
      </rPr>
      <t>: 12/08/2025 a 13/12/2025</t>
    </r>
  </si>
  <si>
    <r>
      <rPr>
        <b/>
        <u/>
        <sz val="11"/>
        <color theme="1"/>
        <rFont val="Calibri"/>
        <family val="2"/>
        <scheme val="minor"/>
      </rPr>
      <t>Medicina</t>
    </r>
    <r>
      <rPr>
        <b/>
        <sz val="11"/>
        <color theme="1"/>
        <rFont val="Calibri"/>
        <family val="2"/>
        <scheme val="minor"/>
      </rPr>
      <t>: 18/08/2025 a 15/12/2025</t>
    </r>
  </si>
  <si>
    <r>
      <rPr>
        <b/>
        <u/>
        <sz val="10"/>
        <color rgb="FFFF0000"/>
        <rFont val="Calibri"/>
        <family val="2"/>
        <scheme val="minor"/>
      </rPr>
      <t>Período Letivo 2025/2 Medicina</t>
    </r>
    <r>
      <rPr>
        <b/>
        <sz val="10"/>
        <color rgb="FFFF0000"/>
        <rFont val="Calibri"/>
        <family val="2"/>
        <scheme val="minor"/>
      </rPr>
      <t>: 18/08/2025 a 15/12/2025</t>
    </r>
  </si>
  <si>
    <r>
      <rPr>
        <b/>
        <u/>
        <sz val="10"/>
        <color rgb="FFFF0000"/>
        <rFont val="Calibri"/>
        <family val="2"/>
        <scheme val="minor"/>
      </rPr>
      <t>Período Letivo 2025/2 Pós-Graduação</t>
    </r>
    <r>
      <rPr>
        <b/>
        <sz val="10"/>
        <color rgb="FFFF0000"/>
        <rFont val="Calibri"/>
        <family val="2"/>
        <scheme val="minor"/>
      </rPr>
      <t>: 12/08/2025 a 13/12/2025</t>
    </r>
  </si>
  <si>
    <r>
      <rPr>
        <b/>
        <u/>
        <sz val="10"/>
        <color rgb="FFFF0000"/>
        <rFont val="Calibri"/>
        <family val="2"/>
        <scheme val="minor"/>
      </rPr>
      <t>Período Letivo 2025/2 Graduação/ESTES</t>
    </r>
    <r>
      <rPr>
        <b/>
        <sz val="10"/>
        <color rgb="FFFF0000"/>
        <rFont val="Calibri"/>
        <family val="2"/>
        <scheme val="minor"/>
      </rPr>
      <t>: 13/10/2025 a 27/03/2026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</si>
</sst>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h&quot;"/>
    <numFmt numFmtId="165" formatCode="d&quot; de &quot;mmmm&quot; de &quot;yyyy"/>
    <numFmt numFmtId="166" formatCode="00&quot;/&quot;00&quot;/&quot;0000"/>
  </numFmts>
  <fonts count="5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2" borderId="0" xfId="0" applyFont="1" applyFill="1"/>
    <xf numFmtId="0" fontId="4" fillId="0" borderId="0" xfId="0" applyFont="1"/>
    <xf numFmtId="0" fontId="20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2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5" borderId="4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 applyAlignment="1">
      <alignment horizontal="right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2" fontId="9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2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0" fillId="3" borderId="0" xfId="0" applyFont="1" applyFill="1"/>
    <xf numFmtId="0" fontId="13" fillId="3" borderId="0" xfId="0" applyFont="1" applyFill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/>
    </xf>
    <xf numFmtId="0" fontId="0" fillId="3" borderId="0" xfId="0" applyFill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7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2" fontId="35" fillId="3" borderId="0" xfId="0" applyNumberFormat="1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17" fillId="5" borderId="9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21" fillId="5" borderId="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/>
    <xf numFmtId="0" fontId="23" fillId="3" borderId="0" xfId="0" applyFont="1" applyFill="1" applyAlignment="1">
      <alignment vertical="center" wrapText="1"/>
    </xf>
    <xf numFmtId="0" fontId="0" fillId="5" borderId="16" xfId="0" applyFill="1" applyBorder="1"/>
    <xf numFmtId="0" fontId="1" fillId="0" borderId="0" xfId="0" applyFont="1"/>
    <xf numFmtId="0" fontId="0" fillId="3" borderId="0" xfId="0" applyFill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40" fillId="3" borderId="0" xfId="0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15" fillId="0" borderId="0" xfId="0" applyFont="1"/>
    <xf numFmtId="0" fontId="2" fillId="5" borderId="8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/>
    <xf numFmtId="0" fontId="0" fillId="5" borderId="21" xfId="0" applyFill="1" applyBorder="1"/>
    <xf numFmtId="165" fontId="0" fillId="3" borderId="0" xfId="0" applyNumberFormat="1" applyFill="1"/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5" borderId="21" xfId="0" applyFont="1" applyFill="1" applyBorder="1" applyAlignment="1">
      <alignment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4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 applyProtection="1">
      <alignment vertical="center"/>
      <protection locked="0"/>
    </xf>
    <xf numFmtId="0" fontId="24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6" fontId="0" fillId="3" borderId="4" xfId="0" applyNumberFormat="1" applyFill="1" applyBorder="1" applyProtection="1">
      <protection locked="0"/>
    </xf>
    <xf numFmtId="166" fontId="0" fillId="3" borderId="7" xfId="0" applyNumberFormat="1" applyFill="1" applyBorder="1" applyProtection="1">
      <protection locked="0"/>
    </xf>
    <xf numFmtId="166" fontId="0" fillId="3" borderId="9" xfId="0" applyNumberFormat="1" applyFill="1" applyBorder="1" applyProtection="1">
      <protection locked="0"/>
    </xf>
    <xf numFmtId="0" fontId="0" fillId="5" borderId="4" xfId="0" applyFill="1" applyBorder="1"/>
    <xf numFmtId="0" fontId="0" fillId="5" borderId="7" xfId="0" applyFill="1" applyBorder="1"/>
    <xf numFmtId="0" fontId="0" fillId="5" borderId="9" xfId="0" applyFill="1" applyBorder="1"/>
    <xf numFmtId="0" fontId="45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6" fillId="3" borderId="4" xfId="0" applyFont="1" applyFill="1" applyBorder="1" applyAlignment="1">
      <alignment horizontal="left" vertical="center"/>
    </xf>
    <xf numFmtId="0" fontId="45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46" fillId="3" borderId="9" xfId="0" applyFont="1" applyFill="1" applyBorder="1" applyAlignment="1">
      <alignment vertical="center"/>
    </xf>
    <xf numFmtId="0" fontId="46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46" fillId="3" borderId="7" xfId="0" applyFont="1" applyFill="1" applyBorder="1" applyAlignment="1">
      <alignment vertical="center"/>
    </xf>
    <xf numFmtId="0" fontId="0" fillId="3" borderId="11" xfId="0" applyFill="1" applyBorder="1"/>
    <xf numFmtId="0" fontId="39" fillId="3" borderId="0" xfId="0" applyFont="1" applyFill="1" applyAlignment="1">
      <alignment horizontal="center" vertical="center"/>
    </xf>
    <xf numFmtId="0" fontId="2" fillId="0" borderId="0" xfId="0" applyFont="1"/>
    <xf numFmtId="0" fontId="46" fillId="3" borderId="7" xfId="0" applyFont="1" applyFill="1" applyBorder="1" applyAlignment="1">
      <alignment horizontal="left" vertical="center"/>
    </xf>
    <xf numFmtId="0" fontId="44" fillId="3" borderId="5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43" fillId="3" borderId="5" xfId="0" applyFont="1" applyFill="1" applyBorder="1" applyAlignment="1">
      <alignment horizontal="left" wrapText="1"/>
    </xf>
    <xf numFmtId="0" fontId="43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8" fillId="3" borderId="0" xfId="0" applyFont="1" applyFill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5" fontId="0" fillId="3" borderId="0" xfId="0" applyNumberFormat="1" applyFill="1" applyAlignment="1">
      <alignment horizontal="left"/>
    </xf>
    <xf numFmtId="0" fontId="0" fillId="5" borderId="23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2" fillId="5" borderId="22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23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  <xf numFmtId="0" fontId="0" fillId="5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Normal" xfId="0" builtinId="0"/>
  </cellStyles>
  <dxfs count="34">
    <dxf>
      <font>
        <b val="0"/>
        <i val="0"/>
        <color rgb="FF860000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EEEB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47D"/>
      <color rgb="FF866300"/>
      <color rgb="FF9A7200"/>
      <color rgb="FFFFCC66"/>
      <color rgb="FF860000"/>
      <color rgb="FFFEEEB2"/>
      <color rgb="FFFFFF66"/>
      <color rgb="FF045ECA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fastamentos!A1"/><Relationship Id="rId3" Type="http://schemas.openxmlformats.org/officeDocument/2006/relationships/hyperlink" Target="#Orienta&#231;&#245;es!A1"/><Relationship Id="rId7" Type="http://schemas.openxmlformats.org/officeDocument/2006/relationships/hyperlink" Target="#Outras!A1"/><Relationship Id="rId12" Type="http://schemas.openxmlformats.org/officeDocument/2006/relationships/hyperlink" Target="#Observa&#231;&#245;es!A1"/><Relationship Id="rId2" Type="http://schemas.openxmlformats.org/officeDocument/2006/relationships/hyperlink" Target="#Aulas!A1"/><Relationship Id="rId1" Type="http://schemas.openxmlformats.org/officeDocument/2006/relationships/image" Target="../media/image1.png"/><Relationship Id="rId6" Type="http://schemas.openxmlformats.org/officeDocument/2006/relationships/hyperlink" Target="#Gest&#227;o!A1"/><Relationship Id="rId11" Type="http://schemas.openxmlformats.org/officeDocument/2006/relationships/hyperlink" Target="#'Projetos de Ensino'!A1"/><Relationship Id="rId5" Type="http://schemas.openxmlformats.org/officeDocument/2006/relationships/hyperlink" Target="#Extens&#227;o!A1"/><Relationship Id="rId10" Type="http://schemas.openxmlformats.org/officeDocument/2006/relationships/hyperlink" Target="#Compilado!A1"/><Relationship Id="rId4" Type="http://schemas.openxmlformats.org/officeDocument/2006/relationships/hyperlink" Target="#Pesquisa!A1"/><Relationship Id="rId9" Type="http://schemas.openxmlformats.org/officeDocument/2006/relationships/hyperlink" Target="#Remunerada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forma&#231;&#245;es e Resum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57150</xdr:rowOff>
    </xdr:from>
    <xdr:to>
      <xdr:col>0</xdr:col>
      <xdr:colOff>1339851</xdr:colOff>
      <xdr:row>3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50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11</xdr:row>
      <xdr:rowOff>66675</xdr:rowOff>
    </xdr:from>
    <xdr:to>
      <xdr:col>12</xdr:col>
      <xdr:colOff>161925</xdr:colOff>
      <xdr:row>14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91475" y="2447925"/>
          <a:ext cx="1838325" cy="5143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Aulas</a:t>
          </a:r>
          <a:endParaRPr lang="pt-BR" sz="1100"/>
        </a:p>
      </xdr:txBody>
    </xdr:sp>
    <xdr:clientData/>
  </xdr:twoCellAnchor>
  <xdr:twoCellAnchor>
    <xdr:from>
      <xdr:col>9</xdr:col>
      <xdr:colOff>114301</xdr:colOff>
      <xdr:row>15</xdr:row>
      <xdr:rowOff>19050</xdr:rowOff>
    </xdr:from>
    <xdr:to>
      <xdr:col>12</xdr:col>
      <xdr:colOff>171451</xdr:colOff>
      <xdr:row>17</xdr:row>
      <xdr:rowOff>180975</xdr:rowOff>
    </xdr:to>
    <xdr:sp macro="" textlink="">
      <xdr:nvSpPr>
        <xdr:cNvPr id="3" name="Retângulo de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4176" y="3171825"/>
          <a:ext cx="1885950" cy="5429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Orientações</a:t>
          </a:r>
          <a:endParaRPr lang="pt-BR" sz="1100"/>
        </a:p>
      </xdr:txBody>
    </xdr:sp>
    <xdr:clientData/>
  </xdr:twoCellAnchor>
  <xdr:twoCellAnchor>
    <xdr:from>
      <xdr:col>9</xdr:col>
      <xdr:colOff>142875</xdr:colOff>
      <xdr:row>19</xdr:row>
      <xdr:rowOff>57150</xdr:rowOff>
    </xdr:from>
    <xdr:to>
      <xdr:col>12</xdr:col>
      <xdr:colOff>152400</xdr:colOff>
      <xdr:row>21</xdr:row>
      <xdr:rowOff>171450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62750" y="3971925"/>
          <a:ext cx="1838325" cy="4953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Pesquisa</a:t>
          </a:r>
          <a:endParaRPr lang="pt-BR" sz="1100"/>
        </a:p>
      </xdr:txBody>
    </xdr:sp>
    <xdr:clientData/>
  </xdr:twoCellAnchor>
  <xdr:twoCellAnchor>
    <xdr:from>
      <xdr:col>13</xdr:col>
      <xdr:colOff>156882</xdr:colOff>
      <xdr:row>17</xdr:row>
      <xdr:rowOff>111498</xdr:rowOff>
    </xdr:from>
    <xdr:to>
      <xdr:col>16</xdr:col>
      <xdr:colOff>490257</xdr:colOff>
      <xdr:row>20</xdr:row>
      <xdr:rowOff>16248</xdr:rowOff>
    </xdr:to>
    <xdr:sp macro="" textlink="">
      <xdr:nvSpPr>
        <xdr:cNvPr id="5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88823" y="3618939"/>
          <a:ext cx="2148728" cy="47625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Extensão</a:t>
          </a:r>
          <a:endParaRPr lang="pt-BR" sz="1100"/>
        </a:p>
      </xdr:txBody>
    </xdr:sp>
    <xdr:clientData/>
  </xdr:twoCellAnchor>
  <xdr:twoCellAnchor>
    <xdr:from>
      <xdr:col>9</xdr:col>
      <xdr:colOff>152400</xdr:colOff>
      <xdr:row>23</xdr:row>
      <xdr:rowOff>180975</xdr:rowOff>
    </xdr:from>
    <xdr:to>
      <xdr:col>12</xdr:col>
      <xdr:colOff>152400</xdr:colOff>
      <xdr:row>26</xdr:row>
      <xdr:rowOff>47625</xdr:rowOff>
    </xdr:to>
    <xdr:sp macro="" textlink="">
      <xdr:nvSpPr>
        <xdr:cNvPr id="6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72275" y="4857750"/>
          <a:ext cx="182880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Gestão</a:t>
          </a:r>
          <a:endParaRPr lang="pt-BR" sz="1100"/>
        </a:p>
      </xdr:txBody>
    </xdr:sp>
    <xdr:clientData/>
  </xdr:twoCellAnchor>
  <xdr:twoCellAnchor>
    <xdr:from>
      <xdr:col>13</xdr:col>
      <xdr:colOff>142314</xdr:colOff>
      <xdr:row>20</xdr:row>
      <xdr:rowOff>149038</xdr:rowOff>
    </xdr:from>
    <xdr:to>
      <xdr:col>16</xdr:col>
      <xdr:colOff>428064</xdr:colOff>
      <xdr:row>23</xdr:row>
      <xdr:rowOff>44263</xdr:rowOff>
    </xdr:to>
    <xdr:sp macro="" textlink="">
      <xdr:nvSpPr>
        <xdr:cNvPr id="8" name="Retângulo de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74255" y="4227979"/>
          <a:ext cx="2101103" cy="4667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Outras atividades</a:t>
          </a:r>
          <a:endParaRPr lang="pt-BR" sz="1100"/>
        </a:p>
      </xdr:txBody>
    </xdr:sp>
    <xdr:clientData/>
  </xdr:twoCellAnchor>
  <xdr:twoCellAnchor>
    <xdr:from>
      <xdr:col>9</xdr:col>
      <xdr:colOff>161925</xdr:colOff>
      <xdr:row>27</xdr:row>
      <xdr:rowOff>171449</xdr:rowOff>
    </xdr:from>
    <xdr:to>
      <xdr:col>12</xdr:col>
      <xdr:colOff>161925</xdr:colOff>
      <xdr:row>32</xdr:row>
      <xdr:rowOff>161925</xdr:rowOff>
    </xdr:to>
    <xdr:sp macro="" textlink="">
      <xdr:nvSpPr>
        <xdr:cNvPr id="9" name="Retângulo de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81800" y="5610224"/>
          <a:ext cx="1828800" cy="942976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Afastamento/</a:t>
          </a:r>
        </a:p>
        <a:p>
          <a:pPr algn="ctr"/>
          <a:r>
            <a:rPr lang="pt-BR" sz="2000"/>
            <a:t>Licença</a:t>
          </a:r>
          <a:endParaRPr lang="pt-BR" sz="1100"/>
        </a:p>
      </xdr:txBody>
    </xdr:sp>
    <xdr:clientData/>
  </xdr:twoCellAnchor>
  <xdr:twoCellAnchor>
    <xdr:from>
      <xdr:col>13</xdr:col>
      <xdr:colOff>151840</xdr:colOff>
      <xdr:row>24</xdr:row>
      <xdr:rowOff>36979</xdr:rowOff>
    </xdr:from>
    <xdr:to>
      <xdr:col>16</xdr:col>
      <xdr:colOff>437590</xdr:colOff>
      <xdr:row>29</xdr:row>
      <xdr:rowOff>27455</xdr:rowOff>
    </xdr:to>
    <xdr:sp macro="" textlink="">
      <xdr:nvSpPr>
        <xdr:cNvPr id="10" name="Retângulo de cantos arredondado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3781" y="4877920"/>
          <a:ext cx="2101103" cy="942976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/>
              </a:solidFill>
            </a:rPr>
            <a:t>Atividades remuneradas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142875</xdr:colOff>
      <xdr:row>34</xdr:row>
      <xdr:rowOff>114300</xdr:rowOff>
    </xdr:from>
    <xdr:to>
      <xdr:col>14</xdr:col>
      <xdr:colOff>200025</xdr:colOff>
      <xdr:row>38</xdr:row>
      <xdr:rowOff>57150</xdr:rowOff>
    </xdr:to>
    <xdr:sp macro="" textlink="">
      <xdr:nvSpPr>
        <xdr:cNvPr id="11" name="Retângulo de cantos arredondado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62750" y="6886575"/>
          <a:ext cx="3105150" cy="70485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Versão para impressão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156882</xdr:colOff>
      <xdr:row>11</xdr:row>
      <xdr:rowOff>64994</xdr:rowOff>
    </xdr:from>
    <xdr:to>
      <xdr:col>16</xdr:col>
      <xdr:colOff>490729</xdr:colOff>
      <xdr:row>16</xdr:row>
      <xdr:rowOff>152488</xdr:rowOff>
    </xdr:to>
    <xdr:sp macro="" textlink="">
      <xdr:nvSpPr>
        <xdr:cNvPr id="12" name="Retângulo de cantos arredondado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88823" y="2418229"/>
          <a:ext cx="2149200" cy="1051200"/>
        </a:xfrm>
        <a:prstGeom prst="roundRect">
          <a:avLst/>
        </a:prstGeom>
        <a:solidFill>
          <a:srgbClr val="045ECA"/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Projetos</a:t>
          </a:r>
          <a:r>
            <a:rPr lang="pt-BR" sz="2000" baseline="0"/>
            <a:t> de </a:t>
          </a:r>
          <a:r>
            <a:rPr lang="pt-BR" sz="2000"/>
            <a:t>Ensino</a:t>
          </a:r>
          <a:endParaRPr lang="pt-BR" sz="1100"/>
        </a:p>
      </xdr:txBody>
    </xdr:sp>
    <xdr:clientData/>
  </xdr:twoCellAnchor>
  <xdr:twoCellAnchor>
    <xdr:from>
      <xdr:col>13</xdr:col>
      <xdr:colOff>136151</xdr:colOff>
      <xdr:row>30</xdr:row>
      <xdr:rowOff>38661</xdr:rowOff>
    </xdr:from>
    <xdr:to>
      <xdr:col>16</xdr:col>
      <xdr:colOff>469998</xdr:colOff>
      <xdr:row>32</xdr:row>
      <xdr:rowOff>183217</xdr:rowOff>
    </xdr:to>
    <xdr:sp macro="" textlink="">
      <xdr:nvSpPr>
        <xdr:cNvPr id="13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168092" y="6022602"/>
          <a:ext cx="2149200" cy="52555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ysClr val="windowText" lastClr="000000"/>
              </a:solidFill>
            </a:rPr>
            <a:t>Observações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104775</xdr:rowOff>
    </xdr:from>
    <xdr:to>
      <xdr:col>11</xdr:col>
      <xdr:colOff>76200</xdr:colOff>
      <xdr:row>2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972300" y="1047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282575</xdr:colOff>
      <xdr:row>3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371475</xdr:colOff>
      <xdr:row>1</xdr:row>
      <xdr:rowOff>19050</xdr:rowOff>
    </xdr:from>
    <xdr:to>
      <xdr:col>17</xdr:col>
      <xdr:colOff>257175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9582150" y="2571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66675</xdr:rowOff>
    </xdr:from>
    <xdr:to>
      <xdr:col>16</xdr:col>
      <xdr:colOff>95250</xdr:colOff>
      <xdr:row>1</xdr:row>
      <xdr:rowOff>161925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15450" y="666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133349</xdr:rowOff>
    </xdr:from>
    <xdr:to>
      <xdr:col>14</xdr:col>
      <xdr:colOff>152400</xdr:colOff>
      <xdr:row>2</xdr:row>
      <xdr:rowOff>47624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381750" y="133349"/>
          <a:ext cx="1609725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95251</xdr:rowOff>
    </xdr:from>
    <xdr:to>
      <xdr:col>16</xdr:col>
      <xdr:colOff>571500</xdr:colOff>
      <xdr:row>2</xdr:row>
      <xdr:rowOff>95251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667875" y="95251"/>
          <a:ext cx="16097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11</xdr:col>
      <xdr:colOff>390525</xdr:colOff>
      <xdr:row>2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95875" y="66675"/>
          <a:ext cx="1609725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142875</xdr:rowOff>
    </xdr:from>
    <xdr:to>
      <xdr:col>13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Z55"/>
  <sheetViews>
    <sheetView topLeftCell="A4" zoomScale="90" zoomScaleNormal="90" workbookViewId="0">
      <selection activeCell="C6" sqref="C6"/>
    </sheetView>
  </sheetViews>
  <sheetFormatPr defaultRowHeight="15" x14ac:dyDescent="0.25"/>
  <cols>
    <col min="1" max="1" width="24.42578125" customWidth="1"/>
    <col min="2" max="2" width="14.5703125" customWidth="1"/>
    <col min="3" max="3" width="7.5703125" customWidth="1"/>
    <col min="4" max="4" width="12.5703125" customWidth="1"/>
    <col min="5" max="5" width="11.28515625" customWidth="1"/>
    <col min="6" max="7" width="9.140625" customWidth="1"/>
    <col min="8" max="8" width="1.42578125" customWidth="1"/>
    <col min="9" max="9" width="9.140625" customWidth="1"/>
  </cols>
  <sheetData>
    <row r="1" spans="1:26" ht="18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8.75" customHeight="1" x14ac:dyDescent="0.25">
      <c r="A2" s="34"/>
      <c r="B2" s="228" t="s">
        <v>36</v>
      </c>
      <c r="C2" s="228"/>
      <c r="D2" s="228"/>
      <c r="E2" s="228"/>
      <c r="F2" s="228"/>
      <c r="G2" s="228"/>
      <c r="H2" s="228"/>
      <c r="I2" s="19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8.75" customHeight="1" x14ac:dyDescent="0.25">
      <c r="A3" s="34"/>
      <c r="B3" s="228" t="s">
        <v>37</v>
      </c>
      <c r="C3" s="228"/>
      <c r="D3" s="228"/>
      <c r="E3" s="228"/>
      <c r="F3" s="228"/>
      <c r="G3" s="228"/>
      <c r="H3" s="228"/>
      <c r="I3" s="228"/>
      <c r="J3" s="56" t="s">
        <v>91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8.75" customHeight="1" x14ac:dyDescent="0.25">
      <c r="A4" s="34"/>
      <c r="B4" s="236" t="s">
        <v>211</v>
      </c>
      <c r="C4" s="236"/>
      <c r="D4" s="236"/>
      <c r="E4" s="236"/>
      <c r="F4" s="236"/>
      <c r="G4" s="236"/>
      <c r="H4" s="236"/>
      <c r="I4" s="236"/>
      <c r="J4" s="34" t="s">
        <v>213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8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 t="s">
        <v>113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8.75" customHeight="1" thickBot="1" x14ac:dyDescent="0.3">
      <c r="A6" s="34"/>
      <c r="B6" s="57" t="s">
        <v>19</v>
      </c>
      <c r="C6" s="58">
        <v>2025</v>
      </c>
      <c r="E6" s="57" t="s">
        <v>2</v>
      </c>
      <c r="F6" s="229">
        <v>2</v>
      </c>
      <c r="G6" s="230"/>
      <c r="H6" s="33"/>
      <c r="I6" s="192"/>
      <c r="J6" s="34" t="s">
        <v>114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thickBot="1" x14ac:dyDescent="0.3">
      <c r="A7" s="34" t="s">
        <v>18</v>
      </c>
      <c r="B7" s="237" t="s">
        <v>109</v>
      </c>
      <c r="C7" s="238"/>
      <c r="D7" s="238"/>
      <c r="E7" s="238"/>
      <c r="F7" s="238"/>
      <c r="G7" s="238"/>
      <c r="H7" s="239"/>
      <c r="I7" s="193"/>
      <c r="J7" s="34" t="s">
        <v>115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thickBot="1" x14ac:dyDescent="0.3">
      <c r="A8" s="34" t="s">
        <v>140</v>
      </c>
      <c r="B8" s="237" t="s">
        <v>141</v>
      </c>
      <c r="C8" s="238"/>
      <c r="D8" s="238"/>
      <c r="E8" s="238"/>
      <c r="F8" s="238"/>
      <c r="G8" s="238"/>
      <c r="H8" s="239"/>
      <c r="I8" s="193"/>
      <c r="J8" s="34" t="s">
        <v>92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thickBot="1" x14ac:dyDescent="0.3">
      <c r="A9" s="34" t="s">
        <v>72</v>
      </c>
      <c r="B9" s="234" t="s">
        <v>52</v>
      </c>
      <c r="C9" s="235"/>
      <c r="D9" s="195"/>
      <c r="E9" s="57" t="s">
        <v>80</v>
      </c>
      <c r="F9" s="236" t="str">
        <f>INT(H9/60) &amp; " h " &amp; ROUND(H9-(INT(H9/60)*60),0) &amp; " min"</f>
        <v>34 h 30 min</v>
      </c>
      <c r="G9" s="236"/>
      <c r="H9" s="59">
        <f>E17+D36+D40+D24+D28+D32+D20+D44</f>
        <v>2070</v>
      </c>
      <c r="I9" s="80"/>
      <c r="J9" s="34" t="s">
        <v>116</v>
      </c>
      <c r="K9" s="33"/>
      <c r="L9" s="33"/>
      <c r="M9" s="33"/>
      <c r="N9" s="33"/>
      <c r="O9" s="33"/>
      <c r="P9" s="33"/>
      <c r="Q9" s="33"/>
      <c r="R9" s="33"/>
      <c r="S9" s="219"/>
      <c r="T9" s="212"/>
      <c r="U9" s="212"/>
      <c r="V9" s="34"/>
      <c r="W9" s="34"/>
      <c r="X9" s="34"/>
      <c r="Y9" s="33"/>
      <c r="Z9" s="33"/>
    </row>
    <row r="10" spans="1:26" ht="18.75" customHeight="1" x14ac:dyDescent="0.25">
      <c r="A10" s="167" t="s">
        <v>210</v>
      </c>
      <c r="B10" s="145" t="s">
        <v>216</v>
      </c>
      <c r="C10" s="145"/>
      <c r="D10" s="145"/>
      <c r="E10" s="145" t="s">
        <v>217</v>
      </c>
      <c r="F10" s="145"/>
      <c r="G10" s="145"/>
      <c r="H10" s="146"/>
      <c r="I10" s="146"/>
      <c r="J10" s="34" t="s">
        <v>191</v>
      </c>
      <c r="K10" s="33"/>
      <c r="L10" s="33"/>
      <c r="M10" s="33"/>
      <c r="N10" s="33"/>
      <c r="O10" s="33"/>
      <c r="P10" s="33"/>
      <c r="Q10" s="33"/>
      <c r="R10" s="33"/>
      <c r="S10" s="220"/>
      <c r="T10" s="212"/>
      <c r="U10" s="212"/>
      <c r="V10" s="34"/>
      <c r="W10" s="34"/>
      <c r="X10" s="34"/>
      <c r="Y10" s="33"/>
      <c r="Z10" s="33"/>
    </row>
    <row r="11" spans="1:26" ht="18.75" customHeight="1" x14ac:dyDescent="0.25">
      <c r="A11" s="167"/>
      <c r="B11" s="145" t="s">
        <v>214</v>
      </c>
      <c r="C11" s="145"/>
      <c r="D11" s="145"/>
      <c r="E11" s="145"/>
      <c r="F11" s="145"/>
      <c r="G11" s="145"/>
      <c r="H11" s="146"/>
      <c r="I11" s="146"/>
      <c r="J11" s="34"/>
      <c r="K11" s="33"/>
      <c r="L11" s="33"/>
      <c r="M11" s="33"/>
      <c r="N11" s="33"/>
      <c r="O11" s="33"/>
      <c r="P11" s="33"/>
      <c r="Q11" s="33"/>
      <c r="R11" s="33"/>
      <c r="S11" s="220"/>
      <c r="T11" s="212"/>
      <c r="U11" s="212"/>
      <c r="V11" s="34"/>
      <c r="W11" s="34"/>
      <c r="X11" s="34"/>
      <c r="Y11" s="33"/>
      <c r="Z11" s="33"/>
    </row>
    <row r="12" spans="1:26" x14ac:dyDescent="0.25">
      <c r="A12" s="221"/>
      <c r="B12" s="225" t="s">
        <v>218</v>
      </c>
      <c r="C12" s="221"/>
      <c r="D12" s="221"/>
      <c r="E12" s="221"/>
      <c r="F12" s="221"/>
      <c r="G12" s="221"/>
      <c r="H12" s="221"/>
      <c r="I12" s="221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34"/>
      <c r="B13" s="34"/>
      <c r="C13" s="34"/>
      <c r="D13" s="34"/>
      <c r="E13" s="34"/>
      <c r="F13" s="34" t="s">
        <v>212</v>
      </c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x14ac:dyDescent="0.25">
      <c r="A14" s="186" t="s">
        <v>24</v>
      </c>
      <c r="B14" s="54"/>
      <c r="C14" s="233" t="s">
        <v>187</v>
      </c>
      <c r="D14" s="233"/>
      <c r="E14" s="55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 customHeight="1" x14ac:dyDescent="0.25">
      <c r="A15" s="187" t="s">
        <v>78</v>
      </c>
      <c r="B15" s="188" t="s">
        <v>186</v>
      </c>
      <c r="C15" s="232" t="s">
        <v>188</v>
      </c>
      <c r="D15" s="232"/>
      <c r="E15" s="55" t="s">
        <v>190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61">
        <f>Aulas!F26</f>
        <v>8</v>
      </c>
      <c r="B16" s="62" t="str">
        <f>INT(B17/60) &amp; " h " &amp; ROUND(B17-(INT(B17/60)*60),0) &amp; " min"</f>
        <v>8 h 0 min</v>
      </c>
      <c r="C16" s="231" t="str">
        <f>INT(D17/60) &amp; " h " &amp; D17-(INT(D17/60)*60) &amp; " min"</f>
        <v>7 h 50 min</v>
      </c>
      <c r="D16" s="231"/>
      <c r="E16" s="189" t="str">
        <f>INT(E17/60) &amp; " h " &amp; ROUND(E17-(INT(E17/60)*60),0) &amp; " min"</f>
        <v>15 h 50 min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B17" s="190">
        <f>SUM(Aulas!G15:G24)</f>
        <v>480</v>
      </c>
      <c r="D17" s="190">
        <f>E17-B17</f>
        <v>470</v>
      </c>
      <c r="E17" s="190">
        <f>SUM(Aulas!W15:W24)</f>
        <v>950</v>
      </c>
      <c r="F17" s="6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54" t="s">
        <v>194</v>
      </c>
      <c r="B18" s="187" t="s">
        <v>17</v>
      </c>
      <c r="C18" s="55"/>
      <c r="D18" s="55" t="s">
        <v>39</v>
      </c>
      <c r="E18" s="54"/>
      <c r="F18" s="6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33"/>
      <c r="B19" s="61">
        <f>COUNTA('Projetos de Ensino'!A12:A19)</f>
        <v>1</v>
      </c>
      <c r="C19" s="33"/>
      <c r="D19" s="189" t="str">
        <f>INT(D20/60) &amp; " h " &amp; D20-(INT(D20/60)*60) &amp; " min"</f>
        <v>1 h 0 min</v>
      </c>
      <c r="E19" s="33"/>
      <c r="F19" s="6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190">
        <f>SUM('Projetos de Ensino'!F12:F19)</f>
        <v>60</v>
      </c>
      <c r="E20" s="33"/>
      <c r="F20" s="6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3"/>
      <c r="B21" s="33"/>
      <c r="C21" s="33"/>
      <c r="D21" s="33"/>
      <c r="E21" s="33"/>
      <c r="F21" s="6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54" t="s">
        <v>38</v>
      </c>
      <c r="B22" s="187" t="s">
        <v>17</v>
      </c>
      <c r="C22" s="55"/>
      <c r="D22" s="55" t="s">
        <v>39</v>
      </c>
      <c r="E22" s="54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60"/>
      <c r="B23" s="61">
        <f>COUNTA(Extensão!$A$12:$A$19)</f>
        <v>1</v>
      </c>
      <c r="C23" s="61"/>
      <c r="D23" s="189" t="str">
        <f>INT(D24/60) &amp; " h " &amp; D24-(INT(D24/60)*60) &amp; " min"</f>
        <v>2 h 0 min</v>
      </c>
      <c r="F23" s="11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4"/>
      <c r="B24" s="34"/>
      <c r="C24" s="34"/>
      <c r="D24" s="190">
        <f>SUM(Extensão!$F$11:$F$19)</f>
        <v>120</v>
      </c>
      <c r="E24" s="63"/>
      <c r="F24" s="34"/>
      <c r="G24" s="60"/>
      <c r="H24" s="61"/>
      <c r="I24" s="19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60"/>
      <c r="B25" s="61"/>
      <c r="C25" s="61"/>
      <c r="D25" s="62"/>
      <c r="E25" s="62"/>
      <c r="F25" s="34"/>
      <c r="G25" s="60"/>
      <c r="H25" s="61"/>
      <c r="I25" s="6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54" t="s">
        <v>40</v>
      </c>
      <c r="B26" s="187" t="s">
        <v>17</v>
      </c>
      <c r="C26" s="55"/>
      <c r="D26" s="55" t="s">
        <v>34</v>
      </c>
      <c r="E26" s="54"/>
      <c r="F26" s="34"/>
      <c r="G26" s="60"/>
      <c r="H26" s="61"/>
      <c r="I26" s="6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60"/>
      <c r="B27" s="61">
        <f>COUNTA(Gestão!$A$13:$A$22)</f>
        <v>3</v>
      </c>
      <c r="C27" s="61"/>
      <c r="D27" s="189" t="str">
        <f>INT(D28/60) &amp; " h " &amp; D28-(INT(D28/60)*60) &amp; " min"</f>
        <v>3 h 0 min</v>
      </c>
      <c r="F27" s="34"/>
      <c r="G27" s="60"/>
      <c r="H27" s="61"/>
      <c r="I27" s="6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4"/>
      <c r="B28" s="34"/>
      <c r="C28" s="34"/>
      <c r="D28" s="190">
        <f>SUM(Gestão!$I$13:$I$22)</f>
        <v>180</v>
      </c>
      <c r="E28" s="63"/>
      <c r="F28" s="34"/>
      <c r="G28" s="60"/>
      <c r="H28" s="61"/>
      <c r="I28" s="6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24"/>
      <c r="G29" s="60"/>
      <c r="H29" s="61"/>
      <c r="I29" s="6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54" t="s">
        <v>57</v>
      </c>
      <c r="B30" s="187" t="s">
        <v>17</v>
      </c>
      <c r="C30" s="55"/>
      <c r="D30" s="55" t="s">
        <v>39</v>
      </c>
      <c r="E30" s="54"/>
      <c r="F30" s="34"/>
      <c r="G30" s="60"/>
      <c r="H30" s="61"/>
      <c r="I30" s="6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60"/>
      <c r="B31" s="61">
        <f>COUNTA(Outras!A14:C21)</f>
        <v>2</v>
      </c>
      <c r="C31" s="61"/>
      <c r="D31" s="189" t="str">
        <f>INT(D32/60) &amp; " h " &amp; D32-(INT(D32/60)*60) &amp; " min"</f>
        <v>3 h 10 min</v>
      </c>
      <c r="F31" s="34"/>
      <c r="G31" s="60"/>
      <c r="H31" s="61"/>
      <c r="I31" s="6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190">
        <f>SUM(Outras!H14:H21)</f>
        <v>190</v>
      </c>
      <c r="E32" s="64"/>
      <c r="F32" s="34"/>
      <c r="G32" s="60"/>
      <c r="H32" s="61"/>
      <c r="I32" s="6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4"/>
      <c r="B33" s="34"/>
      <c r="C33" s="34"/>
      <c r="D33" s="63"/>
      <c r="E33" s="63"/>
      <c r="F33" s="34"/>
      <c r="G33" s="60"/>
      <c r="H33" s="61"/>
      <c r="I33" s="6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54" t="s">
        <v>189</v>
      </c>
      <c r="B34" s="187" t="s">
        <v>17</v>
      </c>
      <c r="C34" s="187"/>
      <c r="D34" s="55" t="s">
        <v>39</v>
      </c>
      <c r="E34" s="54"/>
      <c r="F34" s="24"/>
      <c r="G34" s="60"/>
      <c r="H34" s="61"/>
      <c r="I34" s="6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191"/>
      <c r="B35" s="61">
        <f>COUNTA(Orientações!A12:A46)</f>
        <v>3</v>
      </c>
      <c r="C35" s="33"/>
      <c r="D35" s="189" t="str">
        <f>INT(D36/60) &amp; " h " &amp; D36-(INT(D36/60)*60) &amp; " min"</f>
        <v>7 h 0 min</v>
      </c>
      <c r="E35" s="33"/>
      <c r="F35" s="34"/>
      <c r="G35" s="60"/>
      <c r="H35" s="61"/>
      <c r="I35" s="6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60"/>
      <c r="B36" s="33"/>
      <c r="C36" s="33"/>
      <c r="D36" s="190">
        <f>SUM(Orientações!H12:H46)</f>
        <v>420</v>
      </c>
      <c r="E36" s="34"/>
      <c r="F36" s="33"/>
      <c r="G36" s="117"/>
      <c r="H36" s="118"/>
      <c r="I36" s="117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60"/>
      <c r="B37" s="61"/>
      <c r="C37" s="33"/>
      <c r="E37" s="33"/>
      <c r="F37" s="33"/>
      <c r="G37" s="60"/>
      <c r="H37" s="61"/>
      <c r="I37" s="6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54" t="s">
        <v>106</v>
      </c>
      <c r="B38" s="187" t="s">
        <v>17</v>
      </c>
      <c r="C38" s="187"/>
      <c r="D38" s="55" t="s">
        <v>39</v>
      </c>
      <c r="E38" s="5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60"/>
      <c r="B39" s="61">
        <f>COUNTA(Pesquisa!A12:A41)</f>
        <v>1</v>
      </c>
      <c r="D39" s="189" t="str">
        <f>INT(D40/60) &amp; " h " &amp; D40-(INT(D40/60)*60) &amp; " min"</f>
        <v>2 h 30 min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25">
      <c r="A40" s="60"/>
      <c r="B40" s="61"/>
      <c r="C40" s="33"/>
      <c r="D40" s="190">
        <f>SUM(Pesquisa!F12:F41)</f>
        <v>150</v>
      </c>
      <c r="E40" s="33"/>
      <c r="F40" s="33"/>
      <c r="G40" s="60"/>
      <c r="H40" s="61"/>
      <c r="I40" s="6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25">
      <c r="A41" s="60"/>
      <c r="B41" s="61"/>
      <c r="C41" s="33"/>
      <c r="D41" s="6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25">
      <c r="A42" s="54" t="s">
        <v>139</v>
      </c>
      <c r="B42" s="55"/>
      <c r="C42" s="187"/>
      <c r="D42" s="55" t="s">
        <v>39</v>
      </c>
      <c r="E42" s="5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25">
      <c r="A43" s="60" t="str">
        <f>IF(Afastamentos!$A$13="","",Afastamentos!$A$13)</f>
        <v/>
      </c>
      <c r="B43" s="61"/>
      <c r="D43" s="189" t="str">
        <f>INT(D44/60) &amp; " h " &amp; D44-(INT(D44/60)*60) &amp; " min"</f>
        <v>0 h 0 min</v>
      </c>
      <c r="E43" s="33"/>
      <c r="F43" s="33"/>
      <c r="G43" s="176"/>
      <c r="H43" s="176"/>
      <c r="I43" s="17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25">
      <c r="A44" s="33"/>
      <c r="B44" s="33"/>
      <c r="C44" s="33"/>
      <c r="D44" s="80">
        <f>SUM(Afastamentos!I13:I15)</f>
        <v>0</v>
      </c>
      <c r="E44" s="33"/>
      <c r="F44" s="33"/>
      <c r="G44" s="176"/>
      <c r="H44" s="176"/>
      <c r="I44" s="176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</sheetData>
  <sheetProtection algorithmName="SHA-512" hashValue="D0S/vAjLeyBI8Raw0+MIzFDGtcFehDMqtw63pgCbUAo/VBqmflGRxm9u2Dfwvxf6qqe0QAnL+tR/+PfCZXxc6A==" saltValue="t9GGSvr3qa0xl2lXaSk/sw==" spinCount="100000" sheet="1" selectLockedCells="1"/>
  <sortState xmlns:xlrd2="http://schemas.microsoft.com/office/spreadsheetml/2017/richdata2" ref="A33:A38">
    <sortCondition ref="A19"/>
  </sortState>
  <mergeCells count="11">
    <mergeCell ref="B3:I3"/>
    <mergeCell ref="F6:G6"/>
    <mergeCell ref="B2:H2"/>
    <mergeCell ref="C16:D16"/>
    <mergeCell ref="C15:D15"/>
    <mergeCell ref="C14:D14"/>
    <mergeCell ref="B9:C9"/>
    <mergeCell ref="F9:G9"/>
    <mergeCell ref="B7:H7"/>
    <mergeCell ref="B8:H8"/>
    <mergeCell ref="B4:I4"/>
  </mergeCells>
  <dataValidations count="2">
    <dataValidation type="list" allowBlank="1" showInputMessage="1" showErrorMessage="1" sqref="F6:G6" xr:uid="{00000000-0002-0000-0000-000000000000}">
      <formula1>"1,2"</formula1>
    </dataValidation>
    <dataValidation type="list" allowBlank="1" showInputMessage="1" showErrorMessage="1" sqref="B9" xr:uid="{00000000-0002-0000-0000-000001000000}">
      <formula1>Regimes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6" stopIfTrue="1" id="{BC8E2A3C-05E5-4F62-A86B-89597F51F0D7}">
            <xm:f>H9=VLOOKUP($B$9,Auxiliar!$E$35:$F$37,2,FALSE)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67" id="{A390CD1D-8B13-44B9-9A52-3669FA027825}">
            <xm:f>H9&lt;VLOOKUP($B$9,Auxiliar!$E$35:$F$37,2,FALSE)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expression" priority="68" id="{98CA7172-146B-4ECC-A779-23F7F28CC2F8}">
            <xm:f>H9&gt;VLOOKUP($B$9,Auxiliar!$E$35:$F$37,2,FALSE)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ellIs" priority="60" stopIfTrue="1" operator="equal" id="{544DD63D-7D02-437A-9598-6A71B65AB8A3}">
            <xm:f>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09F39D8-F60D-4000-8EA7-119972E48986}">
            <xm:f>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2" operator="greaterThan" id="{975D5F90-F805-4007-8D69-0ABFDC86C5A5}">
            <xm:f>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1"/>
  <dimension ref="A1:I37"/>
  <sheetViews>
    <sheetView topLeftCell="A10" workbookViewId="0">
      <selection activeCell="F33" sqref="F33"/>
    </sheetView>
  </sheetViews>
  <sheetFormatPr defaultColWidth="9.140625" defaultRowHeight="15" x14ac:dyDescent="0.25"/>
  <cols>
    <col min="1" max="1" width="30.85546875" style="4" customWidth="1"/>
    <col min="2" max="2" width="11.28515625" style="4" bestFit="1" customWidth="1"/>
    <col min="3" max="3" width="3.7109375" style="4" bestFit="1" customWidth="1"/>
    <col min="4" max="4" width="9.140625" style="4"/>
    <col min="5" max="5" width="26.7109375" style="4" bestFit="1" customWidth="1"/>
    <col min="6" max="6" width="11.28515625" style="2" bestFit="1" customWidth="1"/>
    <col min="7" max="7" width="9.140625" style="4"/>
    <col min="8" max="8" width="42.7109375" style="4" bestFit="1" customWidth="1"/>
    <col min="9" max="9" width="11.28515625" style="2" bestFit="1" customWidth="1"/>
    <col min="10" max="10" width="11.28515625" style="4" bestFit="1" customWidth="1"/>
    <col min="11" max="16384" width="9.140625" style="4"/>
  </cols>
  <sheetData>
    <row r="1" spans="1:9" x14ac:dyDescent="0.25">
      <c r="A1" s="3" t="s">
        <v>11</v>
      </c>
      <c r="B1" s="3" t="s">
        <v>0</v>
      </c>
      <c r="C1" s="5" t="s">
        <v>50</v>
      </c>
      <c r="E1" s="3" t="s">
        <v>12</v>
      </c>
      <c r="F1" s="5" t="s">
        <v>0</v>
      </c>
      <c r="H1" s="13" t="s">
        <v>26</v>
      </c>
      <c r="I1" s="10">
        <v>45</v>
      </c>
    </row>
    <row r="2" spans="1:9" x14ac:dyDescent="0.25">
      <c r="A2" s="4" t="s">
        <v>164</v>
      </c>
      <c r="B2" s="2">
        <v>40</v>
      </c>
      <c r="C2" s="2"/>
      <c r="E2" s="4" t="s">
        <v>192</v>
      </c>
      <c r="H2" s="13" t="s">
        <v>27</v>
      </c>
      <c r="I2" s="10">
        <v>9</v>
      </c>
    </row>
    <row r="3" spans="1:9" x14ac:dyDescent="0.25">
      <c r="A3" s="4" t="s">
        <v>163</v>
      </c>
      <c r="B3" s="2">
        <v>40</v>
      </c>
      <c r="C3" s="2">
        <v>1</v>
      </c>
      <c r="E3" s="4" t="s">
        <v>58</v>
      </c>
      <c r="F3" s="2">
        <v>2</v>
      </c>
      <c r="H3" s="3" t="s">
        <v>47</v>
      </c>
      <c r="I3" s="2">
        <v>1</v>
      </c>
    </row>
    <row r="4" spans="1:9" x14ac:dyDescent="0.25">
      <c r="A4" s="4" t="s">
        <v>45</v>
      </c>
      <c r="B4" s="2">
        <v>20</v>
      </c>
      <c r="C4" s="2"/>
      <c r="E4" s="4" t="s">
        <v>16</v>
      </c>
      <c r="F4" s="2">
        <v>1</v>
      </c>
      <c r="H4" s="3" t="s">
        <v>20</v>
      </c>
      <c r="I4" s="5" t="s">
        <v>43</v>
      </c>
    </row>
    <row r="5" spans="1:9" x14ac:dyDescent="0.25">
      <c r="A5" s="4" t="s">
        <v>46</v>
      </c>
      <c r="B5" s="2">
        <v>8</v>
      </c>
      <c r="C5" s="2"/>
      <c r="E5" s="4" t="s">
        <v>31</v>
      </c>
      <c r="F5" s="2">
        <v>1</v>
      </c>
      <c r="H5" s="4" t="s">
        <v>33</v>
      </c>
      <c r="I5" s="2">
        <v>1</v>
      </c>
    </row>
    <row r="6" spans="1:9" x14ac:dyDescent="0.25">
      <c r="A6" s="4" t="s">
        <v>4</v>
      </c>
      <c r="B6" s="2">
        <v>30</v>
      </c>
      <c r="C6" s="2">
        <v>1</v>
      </c>
      <c r="E6" s="4" t="s">
        <v>28</v>
      </c>
      <c r="F6" s="2">
        <v>1</v>
      </c>
      <c r="H6" s="3" t="s">
        <v>32</v>
      </c>
      <c r="I6" s="5" t="s">
        <v>0</v>
      </c>
    </row>
    <row r="7" spans="1:9" x14ac:dyDescent="0.25">
      <c r="A7" s="4" t="s">
        <v>5</v>
      </c>
      <c r="B7" s="2">
        <v>4</v>
      </c>
      <c r="C7" s="2"/>
      <c r="E7" s="4" t="s">
        <v>156</v>
      </c>
      <c r="F7" s="2">
        <v>1</v>
      </c>
      <c r="H7" s="4" t="s">
        <v>21</v>
      </c>
      <c r="I7" s="2">
        <v>1</v>
      </c>
    </row>
    <row r="8" spans="1:9" x14ac:dyDescent="0.25">
      <c r="A8" s="4" t="s">
        <v>49</v>
      </c>
      <c r="B8" s="2">
        <v>4</v>
      </c>
      <c r="C8" s="2"/>
      <c r="E8" s="4" t="s">
        <v>13</v>
      </c>
      <c r="F8" s="2">
        <v>1</v>
      </c>
      <c r="H8" s="4" t="s">
        <v>23</v>
      </c>
      <c r="I8" s="12">
        <v>1</v>
      </c>
    </row>
    <row r="9" spans="1:9" x14ac:dyDescent="0.25">
      <c r="A9" s="4" t="s">
        <v>48</v>
      </c>
      <c r="B9" s="2">
        <v>4</v>
      </c>
      <c r="C9" s="2"/>
      <c r="E9" s="4" t="s">
        <v>15</v>
      </c>
      <c r="F9" s="2">
        <v>1</v>
      </c>
      <c r="H9" s="4" t="s">
        <v>22</v>
      </c>
      <c r="I9" s="12">
        <v>0.5</v>
      </c>
    </row>
    <row r="10" spans="1:9" x14ac:dyDescent="0.25">
      <c r="A10" s="4" t="s">
        <v>7</v>
      </c>
      <c r="B10" s="2">
        <v>4</v>
      </c>
      <c r="C10" s="2"/>
      <c r="E10" s="4" t="s">
        <v>14</v>
      </c>
      <c r="F10" s="2">
        <v>1</v>
      </c>
    </row>
    <row r="11" spans="1:9" x14ac:dyDescent="0.25">
      <c r="A11" s="4" t="s">
        <v>6</v>
      </c>
      <c r="B11" s="2">
        <v>4</v>
      </c>
      <c r="C11" s="2"/>
      <c r="E11" s="4" t="s">
        <v>42</v>
      </c>
      <c r="F11" s="2">
        <v>1</v>
      </c>
    </row>
    <row r="12" spans="1:9" x14ac:dyDescent="0.25">
      <c r="A12" s="4" t="s">
        <v>9</v>
      </c>
      <c r="B12" s="2">
        <v>40</v>
      </c>
      <c r="C12" s="2">
        <v>1</v>
      </c>
      <c r="E12" s="4" t="s">
        <v>41</v>
      </c>
      <c r="F12" s="2">
        <v>1</v>
      </c>
    </row>
    <row r="13" spans="1:9" x14ac:dyDescent="0.25">
      <c r="A13" s="4" t="s">
        <v>8</v>
      </c>
      <c r="B13" s="2">
        <v>40</v>
      </c>
      <c r="C13" s="2">
        <v>1</v>
      </c>
      <c r="D13" s="14"/>
      <c r="E13" s="4" t="s">
        <v>81</v>
      </c>
      <c r="F13" s="2">
        <v>1</v>
      </c>
      <c r="H13" s="4" t="s">
        <v>3</v>
      </c>
    </row>
    <row r="14" spans="1:9" x14ac:dyDescent="0.25">
      <c r="A14" s="4" t="s">
        <v>168</v>
      </c>
      <c r="B14" s="2">
        <v>8</v>
      </c>
      <c r="C14" s="2"/>
      <c r="E14" s="4" t="s">
        <v>51</v>
      </c>
      <c r="F14" s="2">
        <v>1</v>
      </c>
      <c r="H14" s="4" t="s">
        <v>125</v>
      </c>
      <c r="I14" s="2">
        <v>1</v>
      </c>
    </row>
    <row r="15" spans="1:9" x14ac:dyDescent="0.25">
      <c r="A15" s="4" t="s">
        <v>10</v>
      </c>
      <c r="B15" s="2">
        <v>40</v>
      </c>
      <c r="C15" s="2">
        <v>1</v>
      </c>
      <c r="E15" s="4" t="s">
        <v>176</v>
      </c>
      <c r="F15" s="2">
        <v>1</v>
      </c>
      <c r="H15" s="4" t="s">
        <v>136</v>
      </c>
      <c r="I15" s="2">
        <v>1</v>
      </c>
    </row>
    <row r="16" spans="1:9" x14ac:dyDescent="0.25">
      <c r="A16" s="4" t="s">
        <v>174</v>
      </c>
      <c r="B16" s="4">
        <v>20</v>
      </c>
      <c r="E16" s="4" t="s">
        <v>177</v>
      </c>
      <c r="F16" s="2">
        <v>1</v>
      </c>
      <c r="H16" s="4" t="s">
        <v>126</v>
      </c>
      <c r="I16" s="2">
        <v>0.5</v>
      </c>
    </row>
    <row r="17" spans="1:9" x14ac:dyDescent="0.25">
      <c r="E17" s="4" t="s">
        <v>169</v>
      </c>
      <c r="F17" s="2">
        <v>1</v>
      </c>
      <c r="H17" s="4" t="s">
        <v>129</v>
      </c>
      <c r="I17" s="2">
        <v>1</v>
      </c>
    </row>
    <row r="18" spans="1:9" x14ac:dyDescent="0.25">
      <c r="A18" s="170" t="s">
        <v>59</v>
      </c>
      <c r="B18" s="170"/>
      <c r="E18" s="4" t="s">
        <v>29</v>
      </c>
      <c r="F18" s="2">
        <v>1</v>
      </c>
      <c r="H18" s="4" t="s">
        <v>130</v>
      </c>
      <c r="I18" s="2">
        <v>1</v>
      </c>
    </row>
    <row r="19" spans="1:9" x14ac:dyDescent="0.25">
      <c r="E19" s="4" t="s">
        <v>167</v>
      </c>
      <c r="F19" s="2">
        <v>1</v>
      </c>
      <c r="H19" s="4" t="s">
        <v>137</v>
      </c>
      <c r="I19" s="2">
        <v>1</v>
      </c>
    </row>
    <row r="20" spans="1:9" x14ac:dyDescent="0.25">
      <c r="A20" s="3" t="s">
        <v>60</v>
      </c>
      <c r="B20" s="3"/>
      <c r="E20" s="4" t="s">
        <v>174</v>
      </c>
      <c r="F20" s="2">
        <v>1</v>
      </c>
      <c r="H20" s="4" t="s">
        <v>166</v>
      </c>
      <c r="I20" s="2">
        <v>1</v>
      </c>
    </row>
    <row r="21" spans="1:9" x14ac:dyDescent="0.25">
      <c r="B21" s="2">
        <v>1</v>
      </c>
      <c r="H21" s="4" t="s">
        <v>165</v>
      </c>
      <c r="I21" s="2">
        <v>1</v>
      </c>
    </row>
    <row r="22" spans="1:9" x14ac:dyDescent="0.25">
      <c r="B22" s="2">
        <v>2</v>
      </c>
      <c r="H22" s="4" t="s">
        <v>134</v>
      </c>
      <c r="I22" s="2">
        <v>1</v>
      </c>
    </row>
    <row r="23" spans="1:9" x14ac:dyDescent="0.25">
      <c r="B23" s="2"/>
      <c r="H23" s="4" t="s">
        <v>132</v>
      </c>
      <c r="I23" s="2">
        <v>1</v>
      </c>
    </row>
    <row r="24" spans="1:9" x14ac:dyDescent="0.25">
      <c r="A24" s="153" t="s">
        <v>146</v>
      </c>
      <c r="B24" s="2"/>
      <c r="H24" s="4" t="s">
        <v>127</v>
      </c>
      <c r="I24" s="2">
        <v>1</v>
      </c>
    </row>
    <row r="25" spans="1:9" x14ac:dyDescent="0.25">
      <c r="A25" s="4" t="s">
        <v>147</v>
      </c>
      <c r="B25" s="2"/>
      <c r="E25" s="3" t="s">
        <v>3</v>
      </c>
      <c r="F25" s="3"/>
      <c r="H25" s="4" t="s">
        <v>135</v>
      </c>
      <c r="I25" s="2">
        <v>1</v>
      </c>
    </row>
    <row r="26" spans="1:9" x14ac:dyDescent="0.25">
      <c r="A26" s="4" t="s">
        <v>148</v>
      </c>
      <c r="B26" s="2"/>
      <c r="E26" s="4" t="s">
        <v>61</v>
      </c>
      <c r="F26" s="2">
        <v>60</v>
      </c>
      <c r="H26" s="4" t="s">
        <v>131</v>
      </c>
      <c r="I26" s="2">
        <v>1</v>
      </c>
    </row>
    <row r="27" spans="1:9" x14ac:dyDescent="0.25">
      <c r="E27" s="4" t="s">
        <v>178</v>
      </c>
      <c r="F27" s="2">
        <v>60</v>
      </c>
      <c r="H27" s="4" t="s">
        <v>133</v>
      </c>
      <c r="I27" s="2">
        <v>1</v>
      </c>
    </row>
    <row r="28" spans="1:9" x14ac:dyDescent="0.25">
      <c r="E28" s="4" t="s">
        <v>179</v>
      </c>
      <c r="F28" s="2">
        <v>60</v>
      </c>
      <c r="H28" s="4" t="s">
        <v>201</v>
      </c>
      <c r="I28" s="2">
        <v>1</v>
      </c>
    </row>
    <row r="29" spans="1:9" x14ac:dyDescent="0.25">
      <c r="E29" s="4" t="s">
        <v>62</v>
      </c>
      <c r="F29" s="2">
        <v>60</v>
      </c>
      <c r="H29" s="4" t="s">
        <v>128</v>
      </c>
      <c r="I29" s="2">
        <v>1</v>
      </c>
    </row>
    <row r="30" spans="1:9" x14ac:dyDescent="0.25">
      <c r="E30" s="4" t="s">
        <v>98</v>
      </c>
      <c r="F30" s="2">
        <v>60</v>
      </c>
      <c r="H30" s="4" t="s">
        <v>170</v>
      </c>
      <c r="I30" s="2">
        <v>0.5</v>
      </c>
    </row>
    <row r="31" spans="1:9" x14ac:dyDescent="0.25">
      <c r="E31" s="4" t="s">
        <v>25</v>
      </c>
      <c r="F31" s="2">
        <v>60</v>
      </c>
    </row>
    <row r="32" spans="1:9" x14ac:dyDescent="0.25">
      <c r="E32" s="4" t="s">
        <v>180</v>
      </c>
      <c r="F32" s="2">
        <v>60</v>
      </c>
    </row>
    <row r="34" spans="5:6" x14ac:dyDescent="0.25">
      <c r="E34" s="3" t="s">
        <v>181</v>
      </c>
      <c r="F34" s="3"/>
    </row>
    <row r="35" spans="5:6" x14ac:dyDescent="0.25">
      <c r="E35" s="4" t="s">
        <v>52</v>
      </c>
      <c r="F35" s="2">
        <v>2400</v>
      </c>
    </row>
    <row r="36" spans="5:6" x14ac:dyDescent="0.25">
      <c r="E36" s="4" t="s">
        <v>53</v>
      </c>
      <c r="F36" s="2">
        <v>2400</v>
      </c>
    </row>
    <row r="37" spans="5:6" x14ac:dyDescent="0.25">
      <c r="E37" s="4" t="s">
        <v>54</v>
      </c>
      <c r="F37" s="2">
        <v>1200</v>
      </c>
    </row>
  </sheetData>
  <sheetProtection sheet="1" objects="1" scenarios="1" selectLockedCells="1"/>
  <sortState xmlns:xlrd2="http://schemas.microsoft.com/office/spreadsheetml/2017/richdata2" ref="H14:I30">
    <sortCondition ref="H14:H3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2"/>
  <sheetViews>
    <sheetView workbookViewId="0">
      <selection activeCell="A11" sqref="A11"/>
    </sheetView>
  </sheetViews>
  <sheetFormatPr defaultRowHeight="15" x14ac:dyDescent="0.25"/>
  <cols>
    <col min="1" max="1" width="36.140625" bestFit="1" customWidth="1"/>
  </cols>
  <sheetData>
    <row r="1" spans="1:25" ht="15" customHeight="1" x14ac:dyDescent="0.25">
      <c r="A1" s="113" t="s">
        <v>44</v>
      </c>
      <c r="B1" s="307" t="s">
        <v>142</v>
      </c>
      <c r="C1" s="307"/>
      <c r="D1" s="307"/>
      <c r="E1" s="307"/>
      <c r="F1" s="307"/>
      <c r="G1" s="307"/>
      <c r="H1" s="307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14" t="str">
        <f>'Informações e Resumo'!$F$9</f>
        <v>34 h 30 min</v>
      </c>
      <c r="B2" s="307"/>
      <c r="C2" s="307"/>
      <c r="D2" s="307"/>
      <c r="E2" s="307"/>
      <c r="F2" s="307"/>
      <c r="G2" s="307"/>
      <c r="H2" s="307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" customHeight="1" x14ac:dyDescent="0.25">
      <c r="A3" s="114"/>
      <c r="B3" s="307"/>
      <c r="C3" s="307"/>
      <c r="D3" s="307"/>
      <c r="E3" s="307"/>
      <c r="F3" s="307"/>
      <c r="G3" s="307"/>
      <c r="H3" s="30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" customHeight="1" x14ac:dyDescent="0.25">
      <c r="A5" s="33" t="s">
        <v>143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5" customHeight="1" x14ac:dyDescent="0.25">
      <c r="A7" s="152" t="s">
        <v>77</v>
      </c>
      <c r="B7" s="152" t="s">
        <v>144</v>
      </c>
      <c r="C7" s="308" t="s">
        <v>145</v>
      </c>
      <c r="D7" s="308"/>
      <c r="E7" s="308"/>
      <c r="F7" s="308"/>
      <c r="G7" s="30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5" customHeight="1" x14ac:dyDescent="0.25">
      <c r="A8" s="123" t="s">
        <v>161</v>
      </c>
      <c r="B8" s="123" t="s">
        <v>147</v>
      </c>
      <c r="C8" s="310" t="s">
        <v>162</v>
      </c>
      <c r="D8" s="311"/>
      <c r="E8" s="311"/>
      <c r="F8" s="311"/>
      <c r="G8" s="31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5" customHeight="1" x14ac:dyDescent="0.25">
      <c r="A9" s="123"/>
      <c r="B9" s="123"/>
      <c r="C9" s="301"/>
      <c r="D9" s="302"/>
      <c r="E9" s="302"/>
      <c r="F9" s="302"/>
      <c r="G9" s="30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A10" s="123"/>
      <c r="B10" s="123"/>
      <c r="C10" s="301"/>
      <c r="D10" s="302"/>
      <c r="E10" s="302"/>
      <c r="F10" s="302"/>
      <c r="G10" s="30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5">
      <c r="A11" s="123"/>
      <c r="B11" s="123"/>
      <c r="C11" s="301"/>
      <c r="D11" s="302"/>
      <c r="E11" s="302"/>
      <c r="F11" s="302"/>
      <c r="G11" s="30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5">
      <c r="A12" s="124"/>
      <c r="B12" s="124"/>
      <c r="C12" s="304"/>
      <c r="D12" s="305"/>
      <c r="E12" s="305"/>
      <c r="F12" s="305"/>
      <c r="G12" s="30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</sheetData>
  <sheetProtection algorithmName="SHA-512" hashValue="JmpG/JsgofmVZHEbE94B7k4vDsAe3Pr3TihRE4YAk2PFRIngCv2wHDqqjXxaGEoG8berIdjIqV0vxJfB4rk6QA==" saltValue="H5/s/TLnYfpV3AA/mbqqZQ==" spinCount="100000" sheet="1" objects="1" scenarios="1" selectLockedCells="1"/>
  <mergeCells count="7">
    <mergeCell ref="C10:G10"/>
    <mergeCell ref="C11:G11"/>
    <mergeCell ref="C12:G12"/>
    <mergeCell ref="B1:H3"/>
    <mergeCell ref="C9:G9"/>
    <mergeCell ref="C7:G7"/>
    <mergeCell ref="C8:G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Auxiliar!$A$25:$A$26</xm:f>
          </x14:formula1>
          <xm:sqref>B8:B12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3"/>
  <sheetViews>
    <sheetView workbookViewId="0">
      <selection activeCell="A5" sqref="A5:G10"/>
    </sheetView>
  </sheetViews>
  <sheetFormatPr defaultRowHeight="15" x14ac:dyDescent="0.25"/>
  <cols>
    <col min="1" max="1" width="36.140625" bestFit="1" customWidth="1"/>
  </cols>
  <sheetData>
    <row r="1" spans="1:13" x14ac:dyDescent="0.25">
      <c r="A1" s="113" t="s">
        <v>44</v>
      </c>
      <c r="B1" s="33"/>
      <c r="C1" s="242" t="s">
        <v>202</v>
      </c>
      <c r="D1" s="242"/>
      <c r="E1" s="242"/>
      <c r="F1" s="242"/>
      <c r="G1" s="242"/>
      <c r="H1" s="33"/>
      <c r="I1" s="33"/>
      <c r="J1" s="33"/>
      <c r="K1" s="33"/>
      <c r="L1" s="33"/>
      <c r="M1" s="33"/>
    </row>
    <row r="2" spans="1:13" ht="15" customHeight="1" x14ac:dyDescent="0.25">
      <c r="A2" s="114" t="str">
        <f>'Informações e Resumo'!$F$9</f>
        <v>34 h 30 min</v>
      </c>
      <c r="B2" s="33"/>
      <c r="C2" s="242"/>
      <c r="D2" s="242"/>
      <c r="E2" s="242"/>
      <c r="F2" s="242"/>
      <c r="G2" s="242"/>
      <c r="H2" s="33"/>
      <c r="I2" s="33"/>
      <c r="J2" s="33"/>
      <c r="K2" s="33"/>
      <c r="L2" s="33"/>
      <c r="M2" s="33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56" t="s">
        <v>203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13"/>
      <c r="B5" s="314"/>
      <c r="C5" s="314"/>
      <c r="D5" s="314"/>
      <c r="E5" s="314"/>
      <c r="F5" s="314"/>
      <c r="G5" s="315"/>
      <c r="H5" s="33"/>
      <c r="I5" s="33"/>
      <c r="J5" s="33"/>
      <c r="K5" s="33"/>
      <c r="L5" s="33"/>
      <c r="M5" s="33"/>
    </row>
    <row r="6" spans="1:13" x14ac:dyDescent="0.25">
      <c r="A6" s="316"/>
      <c r="B6" s="317"/>
      <c r="C6" s="317"/>
      <c r="D6" s="317"/>
      <c r="E6" s="317"/>
      <c r="F6" s="317"/>
      <c r="G6" s="318"/>
      <c r="H6" s="33"/>
      <c r="I6" s="33"/>
      <c r="J6" s="33"/>
      <c r="K6" s="33"/>
      <c r="L6" s="33"/>
      <c r="M6" s="33"/>
    </row>
    <row r="7" spans="1:13" x14ac:dyDescent="0.25">
      <c r="A7" s="316"/>
      <c r="B7" s="317"/>
      <c r="C7" s="317"/>
      <c r="D7" s="317"/>
      <c r="E7" s="317"/>
      <c r="F7" s="317"/>
      <c r="G7" s="318"/>
      <c r="H7" s="33"/>
      <c r="I7" s="33"/>
      <c r="J7" s="33"/>
      <c r="K7" s="33"/>
      <c r="L7" s="33"/>
      <c r="M7" s="33"/>
    </row>
    <row r="8" spans="1:13" x14ac:dyDescent="0.25">
      <c r="A8" s="316"/>
      <c r="B8" s="317"/>
      <c r="C8" s="317"/>
      <c r="D8" s="317"/>
      <c r="E8" s="317"/>
      <c r="F8" s="317"/>
      <c r="G8" s="318"/>
      <c r="H8" s="33"/>
      <c r="I8" s="33"/>
      <c r="J8" s="33"/>
      <c r="K8" s="33"/>
      <c r="L8" s="33"/>
      <c r="M8" s="33"/>
    </row>
    <row r="9" spans="1:13" x14ac:dyDescent="0.25">
      <c r="A9" s="316"/>
      <c r="B9" s="317"/>
      <c r="C9" s="317"/>
      <c r="D9" s="317"/>
      <c r="E9" s="317"/>
      <c r="F9" s="317"/>
      <c r="G9" s="318"/>
      <c r="H9" s="33"/>
      <c r="I9" s="33"/>
      <c r="J9" s="33"/>
      <c r="K9" s="33"/>
      <c r="L9" s="33"/>
      <c r="M9" s="33"/>
    </row>
    <row r="10" spans="1:13" x14ac:dyDescent="0.25">
      <c r="A10" s="319"/>
      <c r="B10" s="320"/>
      <c r="C10" s="320"/>
      <c r="D10" s="320"/>
      <c r="E10" s="320"/>
      <c r="F10" s="320"/>
      <c r="G10" s="321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</sheetData>
  <sheetProtection sheet="1" objects="1" scenarios="1" selectLockedCells="1"/>
  <mergeCells count="2">
    <mergeCell ref="C1:G2"/>
    <mergeCell ref="A5:G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562"/>
  <sheetViews>
    <sheetView tabSelected="1" topLeftCell="A9" zoomScale="70" zoomScaleNormal="70" workbookViewId="0">
      <selection activeCell="W27" sqref="W27"/>
    </sheetView>
  </sheetViews>
  <sheetFormatPr defaultColWidth="9.140625" defaultRowHeight="15" x14ac:dyDescent="0.25"/>
  <cols>
    <col min="1" max="1" width="9.140625" customWidth="1"/>
    <col min="6" max="6" width="17.42578125" customWidth="1"/>
    <col min="7" max="7" width="7.42578125" customWidth="1"/>
    <col min="8" max="8" width="7" customWidth="1"/>
    <col min="9" max="9" width="7.5703125" customWidth="1"/>
    <col min="11" max="11" width="9.42578125" customWidth="1"/>
    <col min="14" max="14" width="8.140625" customWidth="1"/>
    <col min="15" max="15" width="8.42578125" customWidth="1"/>
  </cols>
  <sheetData>
    <row r="1" spans="1:31" ht="18.75" customHeight="1" x14ac:dyDescent="0.25">
      <c r="B1" s="34"/>
      <c r="C1" s="228" t="s">
        <v>150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18.75" customHeight="1" x14ac:dyDescent="0.25">
      <c r="A2" s="34"/>
      <c r="B2" s="34"/>
      <c r="C2" s="228" t="s">
        <v>151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18.75" customHeight="1" x14ac:dyDescent="0.25">
      <c r="A3" s="34"/>
      <c r="B3" s="34"/>
      <c r="C3" s="34"/>
      <c r="D3" s="34"/>
      <c r="E3" s="34"/>
      <c r="F3" s="380" t="s">
        <v>209</v>
      </c>
      <c r="G3" s="380"/>
      <c r="H3" s="380"/>
      <c r="I3" s="380"/>
      <c r="J3" s="380"/>
      <c r="K3" s="34"/>
      <c r="L3" s="212"/>
      <c r="M3" s="213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7.25" customHeight="1" x14ac:dyDescent="0.25">
      <c r="A4" s="34"/>
      <c r="B4" s="34"/>
      <c r="C4" s="34"/>
      <c r="D4" s="34"/>
      <c r="E4" s="34"/>
      <c r="F4" s="224"/>
      <c r="G4" s="224"/>
      <c r="H4" s="224"/>
      <c r="I4" s="224"/>
      <c r="J4" s="214" t="s">
        <v>221</v>
      </c>
      <c r="K4" s="216"/>
      <c r="L4" s="215"/>
      <c r="M4" s="227"/>
      <c r="N4" s="227"/>
      <c r="O4" s="217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ht="15.75" customHeight="1" x14ac:dyDescent="0.25">
      <c r="A5" s="34"/>
      <c r="B5" s="34"/>
      <c r="C5" s="34" t="s">
        <v>19</v>
      </c>
      <c r="E5" s="129">
        <f>'Informações e Resumo'!$C$6</f>
        <v>2025</v>
      </c>
      <c r="F5" s="34"/>
      <c r="G5" s="375" t="s">
        <v>2</v>
      </c>
      <c r="H5" s="375"/>
      <c r="I5" s="154">
        <f>'Informações e Resumo'!$F$6</f>
        <v>2</v>
      </c>
      <c r="J5" s="226" t="s">
        <v>219</v>
      </c>
      <c r="K5" s="212"/>
      <c r="L5" s="212"/>
      <c r="M5" s="34"/>
      <c r="N5" s="34"/>
      <c r="O5" s="163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" customHeight="1" x14ac:dyDescent="0.25">
      <c r="A6" s="34"/>
      <c r="B6" s="34"/>
      <c r="C6" s="34" t="s">
        <v>18</v>
      </c>
      <c r="D6" s="34"/>
      <c r="E6" s="373" t="str">
        <f>'Informações e Resumo'!B7</f>
        <v>João da Silva</v>
      </c>
      <c r="F6" s="373"/>
      <c r="G6" s="373"/>
      <c r="H6" s="373"/>
      <c r="I6" s="34"/>
      <c r="J6" s="222" t="s">
        <v>220</v>
      </c>
      <c r="K6" s="212"/>
      <c r="L6" s="212"/>
      <c r="M6" s="34"/>
      <c r="N6" s="34"/>
      <c r="O6" s="163"/>
      <c r="P6" s="34"/>
      <c r="Q6" s="34"/>
      <c r="R6" s="167"/>
      <c r="S6" s="145"/>
      <c r="T6" s="145"/>
      <c r="U6" s="145"/>
      <c r="V6" s="145"/>
      <c r="W6" s="145"/>
      <c r="X6" s="34"/>
      <c r="Y6" s="34"/>
      <c r="Z6" s="34"/>
      <c r="AA6" s="34"/>
      <c r="AB6" s="34"/>
      <c r="AC6" s="34"/>
      <c r="AD6" s="34"/>
      <c r="AE6" s="34"/>
    </row>
    <row r="7" spans="1:31" ht="14.25" customHeight="1" x14ac:dyDescent="0.25">
      <c r="A7" s="33"/>
      <c r="B7" s="33"/>
      <c r="C7" s="34" t="s">
        <v>140</v>
      </c>
      <c r="D7" s="34"/>
      <c r="E7" s="374" t="str">
        <f>'Informações e Resumo'!B8</f>
        <v>Faculdade X</v>
      </c>
      <c r="F7" s="374"/>
      <c r="G7" s="374"/>
      <c r="H7" s="374"/>
      <c r="I7" s="34"/>
      <c r="J7" s="218" t="s">
        <v>215</v>
      </c>
      <c r="K7" s="155"/>
      <c r="L7" s="155"/>
      <c r="M7" s="155"/>
      <c r="N7" s="155"/>
      <c r="O7" s="223"/>
      <c r="P7" s="34"/>
      <c r="Q7" s="34"/>
      <c r="R7" s="221"/>
      <c r="S7" s="145"/>
      <c r="T7" s="221"/>
      <c r="U7" s="221"/>
      <c r="V7" s="221"/>
      <c r="W7" s="221"/>
      <c r="X7" s="34"/>
      <c r="Y7" s="34"/>
      <c r="Z7" s="34"/>
      <c r="AA7" s="34"/>
      <c r="AB7" s="34"/>
      <c r="AC7" s="34"/>
      <c r="AD7" s="34"/>
      <c r="AE7" s="34"/>
    </row>
    <row r="8" spans="1:31" ht="15" customHeight="1" x14ac:dyDescent="0.25">
      <c r="A8" s="33"/>
      <c r="B8" s="33"/>
      <c r="C8" s="34" t="s">
        <v>72</v>
      </c>
      <c r="D8" s="34"/>
      <c r="E8" s="374" t="str">
        <f>'Informações e Resumo'!B9</f>
        <v>40 horas / DE</v>
      </c>
      <c r="F8" s="374"/>
      <c r="G8" s="34"/>
      <c r="H8" s="375" t="s">
        <v>149</v>
      </c>
      <c r="I8" s="375"/>
      <c r="J8" s="375"/>
      <c r="K8" s="34" t="str">
        <f>'Informações e Resumo'!F9</f>
        <v>34 h 30 min</v>
      </c>
      <c r="L8" s="378" t="str">
        <f>IF('Informações e Resumo'!H9&gt;VLOOKUP($E$8,Auxiliar!$E$35:$F$37,2,0),"A carga horária informada está maior do que o máximo permitido",IF('Informações e Resumo'!H9&lt;VLOOKUP($E$8,Auxiliar!$E$35:$F$37,2,0),"A carga horária informada está abaixo do valor correto",""))</f>
        <v>A carga horária informada está abaixo do valor correto</v>
      </c>
      <c r="M8" s="378"/>
      <c r="N8" s="378"/>
      <c r="O8" s="378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1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6"/>
      <c r="K9" s="156"/>
      <c r="L9" s="379"/>
      <c r="M9" s="379"/>
      <c r="N9" s="379"/>
      <c r="O9" s="379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1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1" ht="15.75" x14ac:dyDescent="0.25">
      <c r="A11" s="157" t="s">
        <v>102</v>
      </c>
      <c r="B11" s="34"/>
      <c r="C11" s="34"/>
      <c r="E11" s="34"/>
      <c r="F11" s="197" t="s">
        <v>196</v>
      </c>
      <c r="G11" s="196">
        <f>SUM(G14:G23)</f>
        <v>8</v>
      </c>
      <c r="H11" s="196" t="str">
        <f>"Tempo em aula: "&amp;Aulas!H10</f>
        <v>Tempo em aula: 8 h 0 min</v>
      </c>
      <c r="I11" s="35"/>
      <c r="J11" s="34"/>
      <c r="K11" s="34"/>
      <c r="L11" s="34"/>
      <c r="N11" s="34"/>
      <c r="O11" s="197" t="str">
        <f>"Total com ensino: "&amp;Aulas!X10</f>
        <v>Total com ensino: 15 h 50 min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ht="7.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31" x14ac:dyDescent="0.25">
      <c r="A13" s="158" t="s">
        <v>1</v>
      </c>
      <c r="B13" s="159"/>
      <c r="C13" s="159"/>
      <c r="D13" s="174"/>
      <c r="E13" s="158" t="s">
        <v>3</v>
      </c>
      <c r="F13" s="174"/>
      <c r="G13" s="173" t="s">
        <v>197</v>
      </c>
      <c r="H13" s="376" t="s">
        <v>152</v>
      </c>
      <c r="I13" s="377"/>
      <c r="J13" s="376" t="s">
        <v>153</v>
      </c>
      <c r="K13" s="377"/>
      <c r="L13" s="376" t="s">
        <v>154</v>
      </c>
      <c r="M13" s="377"/>
      <c r="N13" s="365" t="s">
        <v>155</v>
      </c>
      <c r="O13" s="372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1" x14ac:dyDescent="0.25">
      <c r="A14" s="326" t="str">
        <f>IF(Aulas!A15="","",Aulas!A15)</f>
        <v>Exemplo 1</v>
      </c>
      <c r="B14" s="327"/>
      <c r="C14" s="327"/>
      <c r="D14" s="341"/>
      <c r="E14" s="342" t="str">
        <f>IF(Aulas!B15="","",Aulas!B15)</f>
        <v>Graduação</v>
      </c>
      <c r="F14" s="344"/>
      <c r="G14" s="154">
        <f>IF(Aulas!Z15=0,"",Aulas!Z15)</f>
        <v>6</v>
      </c>
      <c r="H14" s="331" t="str">
        <f>Aulas!H15</f>
        <v>6 h 0 min</v>
      </c>
      <c r="I14" s="375"/>
      <c r="J14" s="331" t="str">
        <f t="shared" ref="J14:J23" si="0">IF(P14="","",INT(P14/60) &amp; " h " &amp; P14-(INT(P14/60)*60) &amp; " min")</f>
        <v>1 h 30 min</v>
      </c>
      <c r="K14" s="375"/>
      <c r="L14" s="331" t="str">
        <f t="shared" ref="L14:L23" si="1">IF(Q14="","",INT(Q14/60) &amp; " h " &amp; Q14-(INT(Q14/60)*60) &amp; " min")</f>
        <v>3 h 30 min</v>
      </c>
      <c r="M14" s="375"/>
      <c r="N14" s="367" t="str">
        <f>Aulas!X15</f>
        <v>11 h 0 min</v>
      </c>
      <c r="O14" s="381"/>
      <c r="P14" s="75">
        <f>IF(Aulas!M15=0,"",Aulas!M15)</f>
        <v>90</v>
      </c>
      <c r="Q14" s="75">
        <f>IF(Aulas!T15=0,"",Aulas!T15)</f>
        <v>210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x14ac:dyDescent="0.25">
      <c r="A15" s="326" t="str">
        <f>IF(Aulas!A16="","",Aulas!A16)</f>
        <v>Exemplo 2</v>
      </c>
      <c r="B15" s="327"/>
      <c r="C15" s="327"/>
      <c r="D15" s="341"/>
      <c r="E15" s="342" t="str">
        <f>IF(Aulas!B16="","",Aulas!B16)</f>
        <v>Graduação</v>
      </c>
      <c r="F15" s="344"/>
      <c r="G15" s="154">
        <f>IF(Aulas!Z16=0,"",Aulas!Z16)</f>
        <v>2</v>
      </c>
      <c r="H15" s="331" t="str">
        <f>Aulas!H16</f>
        <v>2 h 0 min</v>
      </c>
      <c r="I15" s="375"/>
      <c r="J15" s="331" t="str">
        <f t="shared" si="0"/>
        <v>1 h 30 min</v>
      </c>
      <c r="K15" s="375"/>
      <c r="L15" s="331" t="str">
        <f t="shared" si="1"/>
        <v>1 h 20 min</v>
      </c>
      <c r="M15" s="375"/>
      <c r="N15" s="324" t="str">
        <f>Aulas!X16</f>
        <v>4 h 50 min</v>
      </c>
      <c r="O15" s="325"/>
      <c r="P15" s="75">
        <f>IF(Aulas!M16=0,"",Aulas!M16)</f>
        <v>90</v>
      </c>
      <c r="Q15" s="75">
        <f>IF(Aulas!T16=0,"",Aulas!T16)</f>
        <v>80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x14ac:dyDescent="0.25">
      <c r="A16" s="326" t="str">
        <f>IF(Aulas!A17="","",Aulas!A17)</f>
        <v/>
      </c>
      <c r="B16" s="327"/>
      <c r="C16" s="327"/>
      <c r="D16" s="341"/>
      <c r="E16" s="342" t="str">
        <f>IF(Aulas!B17="","",Aulas!B17)</f>
        <v/>
      </c>
      <c r="F16" s="344"/>
      <c r="G16" s="154" t="str">
        <f>IF(Aulas!Z17=0,"",Aulas!Z17)</f>
        <v/>
      </c>
      <c r="H16" s="331" t="str">
        <f>Aulas!H17</f>
        <v/>
      </c>
      <c r="I16" s="375"/>
      <c r="J16" s="331" t="str">
        <f t="shared" si="0"/>
        <v/>
      </c>
      <c r="K16" s="375"/>
      <c r="L16" s="331" t="str">
        <f t="shared" si="1"/>
        <v/>
      </c>
      <c r="M16" s="375"/>
      <c r="N16" s="324" t="str">
        <f>Aulas!X17</f>
        <v/>
      </c>
      <c r="O16" s="325"/>
      <c r="P16" s="75" t="str">
        <f>IF(Aulas!M17=0,"",Aulas!M17)</f>
        <v/>
      </c>
      <c r="Q16" s="75" t="str">
        <f>IF(Aulas!T17=0,"",Aulas!T17)</f>
        <v/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x14ac:dyDescent="0.25">
      <c r="A17" s="326" t="str">
        <f>IF(Aulas!A18="","",Aulas!A18)</f>
        <v/>
      </c>
      <c r="B17" s="327"/>
      <c r="C17" s="327"/>
      <c r="D17" s="341"/>
      <c r="E17" s="342" t="str">
        <f>IF(Aulas!B18="","",Aulas!B18)</f>
        <v/>
      </c>
      <c r="F17" s="344"/>
      <c r="G17" s="154" t="str">
        <f>IF(Aulas!Z18=0,"",Aulas!Z18)</f>
        <v/>
      </c>
      <c r="H17" s="331" t="str">
        <f>Aulas!H18</f>
        <v/>
      </c>
      <c r="I17" s="375"/>
      <c r="J17" s="331" t="str">
        <f t="shared" si="0"/>
        <v/>
      </c>
      <c r="K17" s="375"/>
      <c r="L17" s="331" t="str">
        <f t="shared" si="1"/>
        <v/>
      </c>
      <c r="M17" s="375"/>
      <c r="N17" s="324" t="str">
        <f>Aulas!X18</f>
        <v/>
      </c>
      <c r="O17" s="325"/>
      <c r="P17" s="34" t="str">
        <f>IF(Aulas!M18=0,"",Aulas!M18)</f>
        <v/>
      </c>
      <c r="Q17" s="34" t="str">
        <f>IF(Aulas!T18=0,"",Aulas!T18)</f>
        <v/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x14ac:dyDescent="0.25">
      <c r="A18" s="326" t="str">
        <f>IF(Aulas!A19="","",Aulas!A19)</f>
        <v/>
      </c>
      <c r="B18" s="327"/>
      <c r="C18" s="327"/>
      <c r="D18" s="341"/>
      <c r="E18" s="342" t="str">
        <f>IF(Aulas!B19="","",Aulas!B19)</f>
        <v/>
      </c>
      <c r="F18" s="344"/>
      <c r="G18" s="154" t="str">
        <f>IF(Aulas!Z19=0,"",Aulas!Z19)</f>
        <v/>
      </c>
      <c r="H18" s="331" t="str">
        <f>Aulas!H19</f>
        <v/>
      </c>
      <c r="I18" s="375"/>
      <c r="J18" s="331" t="str">
        <f t="shared" si="0"/>
        <v/>
      </c>
      <c r="K18" s="375"/>
      <c r="L18" s="331" t="str">
        <f t="shared" si="1"/>
        <v/>
      </c>
      <c r="M18" s="375"/>
      <c r="N18" s="324" t="str">
        <f>Aulas!X19</f>
        <v/>
      </c>
      <c r="O18" s="325"/>
      <c r="P18" s="34" t="str">
        <f>IF(Aulas!M19=0,"",Aulas!M19)</f>
        <v/>
      </c>
      <c r="Q18" s="34" t="str">
        <f>IF(Aulas!T19=0,"",Aulas!T19)</f>
        <v/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x14ac:dyDescent="0.25">
      <c r="A19" s="326" t="str">
        <f>IF(Aulas!A20="","",Aulas!A20)</f>
        <v/>
      </c>
      <c r="B19" s="327"/>
      <c r="C19" s="327"/>
      <c r="D19" s="341"/>
      <c r="E19" s="342" t="str">
        <f>IF(Aulas!B20="","",Aulas!B20)</f>
        <v/>
      </c>
      <c r="F19" s="344"/>
      <c r="G19" s="154" t="str">
        <f>IF(Aulas!Z20=0,"",Aulas!Z20)</f>
        <v/>
      </c>
      <c r="H19" s="331" t="str">
        <f>Aulas!H20</f>
        <v/>
      </c>
      <c r="I19" s="375"/>
      <c r="J19" s="331" t="str">
        <f t="shared" si="0"/>
        <v/>
      </c>
      <c r="K19" s="375"/>
      <c r="L19" s="331" t="str">
        <f t="shared" si="1"/>
        <v/>
      </c>
      <c r="M19" s="375"/>
      <c r="N19" s="324" t="str">
        <f>Aulas!X20</f>
        <v/>
      </c>
      <c r="O19" s="325"/>
      <c r="P19" s="34" t="str">
        <f>IF(Aulas!M20=0,"",Aulas!M20)</f>
        <v/>
      </c>
      <c r="Q19" s="34" t="str">
        <f>IF(Aulas!T20=0,"",Aulas!T20)</f>
        <v/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x14ac:dyDescent="0.25">
      <c r="A20" s="326" t="str">
        <f>IF(Aulas!A21="","",Aulas!A21)</f>
        <v/>
      </c>
      <c r="B20" s="327"/>
      <c r="C20" s="327"/>
      <c r="D20" s="341"/>
      <c r="E20" s="342" t="str">
        <f>IF(Aulas!B21="","",Aulas!B21)</f>
        <v/>
      </c>
      <c r="F20" s="344"/>
      <c r="G20" s="154" t="str">
        <f>IF(Aulas!Z21=0,"",Aulas!Z21)</f>
        <v/>
      </c>
      <c r="H20" s="331" t="str">
        <f>Aulas!H21</f>
        <v/>
      </c>
      <c r="I20" s="375"/>
      <c r="J20" s="331" t="str">
        <f t="shared" si="0"/>
        <v/>
      </c>
      <c r="K20" s="375"/>
      <c r="L20" s="331" t="str">
        <f t="shared" si="1"/>
        <v/>
      </c>
      <c r="M20" s="375"/>
      <c r="N20" s="324" t="str">
        <f>Aulas!X21</f>
        <v/>
      </c>
      <c r="O20" s="325"/>
      <c r="P20" s="34" t="str">
        <f>IF(Aulas!M21=0,"",Aulas!M21)</f>
        <v/>
      </c>
      <c r="Q20" s="34" t="str">
        <f>IF(Aulas!T21=0,"",Aulas!T21)</f>
        <v/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x14ac:dyDescent="0.25">
      <c r="A21" s="326" t="str">
        <f>IF(Aulas!A22="","",Aulas!A22)</f>
        <v/>
      </c>
      <c r="B21" s="327"/>
      <c r="C21" s="327"/>
      <c r="D21" s="341"/>
      <c r="E21" s="342" t="str">
        <f>IF(Aulas!B22="","",Aulas!B22)</f>
        <v/>
      </c>
      <c r="F21" s="344"/>
      <c r="G21" s="154" t="str">
        <f>IF(Aulas!Z22=0,"",Aulas!Z22)</f>
        <v/>
      </c>
      <c r="H21" s="331" t="str">
        <f>Aulas!H22</f>
        <v/>
      </c>
      <c r="I21" s="375"/>
      <c r="J21" s="331" t="str">
        <f t="shared" si="0"/>
        <v/>
      </c>
      <c r="K21" s="375"/>
      <c r="L21" s="331" t="str">
        <f t="shared" si="1"/>
        <v/>
      </c>
      <c r="M21" s="375"/>
      <c r="N21" s="324" t="str">
        <f>Aulas!X22</f>
        <v/>
      </c>
      <c r="O21" s="325"/>
      <c r="P21" s="34" t="str">
        <f>IF(Aulas!M22=0,"",Aulas!M22)</f>
        <v/>
      </c>
      <c r="Q21" s="34" t="str">
        <f>IF(Aulas!T22=0,"",Aulas!T22)</f>
        <v/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x14ac:dyDescent="0.25">
      <c r="A22" s="326" t="str">
        <f>IF(Aulas!A23="","",Aulas!A23)</f>
        <v/>
      </c>
      <c r="B22" s="327"/>
      <c r="C22" s="327"/>
      <c r="D22" s="341"/>
      <c r="E22" s="342" t="str">
        <f>IF(Aulas!B23="","",Aulas!B23)</f>
        <v/>
      </c>
      <c r="F22" s="344"/>
      <c r="G22" s="154" t="str">
        <f>IF(Aulas!Z23=0,"",Aulas!Z23)</f>
        <v/>
      </c>
      <c r="H22" s="331" t="str">
        <f>Aulas!H23</f>
        <v/>
      </c>
      <c r="I22" s="375"/>
      <c r="J22" s="331" t="str">
        <f t="shared" si="0"/>
        <v/>
      </c>
      <c r="K22" s="375"/>
      <c r="L22" s="331" t="str">
        <f t="shared" si="1"/>
        <v/>
      </c>
      <c r="M22" s="375"/>
      <c r="N22" s="324" t="str">
        <f>Aulas!X23</f>
        <v/>
      </c>
      <c r="O22" s="325"/>
      <c r="P22" s="34" t="str">
        <f>IF(Aulas!M23=0,"",Aulas!M23)</f>
        <v/>
      </c>
      <c r="Q22" s="34" t="str">
        <f>IF(Aulas!T23=0,"",Aulas!T23)</f>
        <v/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x14ac:dyDescent="0.25">
      <c r="A23" s="369" t="str">
        <f>IF(Aulas!A24="","",Aulas!A24)</f>
        <v/>
      </c>
      <c r="B23" s="370"/>
      <c r="C23" s="370"/>
      <c r="D23" s="371"/>
      <c r="E23" s="345" t="str">
        <f>IF(Aulas!B24="","",Aulas!B24)</f>
        <v/>
      </c>
      <c r="F23" s="347"/>
      <c r="G23" s="172" t="str">
        <f>IF(Aulas!Z24=0,"",Aulas!Z24)</f>
        <v/>
      </c>
      <c r="H23" s="333" t="str">
        <f>Aulas!H24</f>
        <v/>
      </c>
      <c r="I23" s="382"/>
      <c r="J23" s="333" t="str">
        <f t="shared" si="0"/>
        <v/>
      </c>
      <c r="K23" s="382"/>
      <c r="L23" s="333" t="str">
        <f t="shared" si="1"/>
        <v/>
      </c>
      <c r="M23" s="382"/>
      <c r="N23" s="322" t="str">
        <f>Aulas!X24</f>
        <v/>
      </c>
      <c r="O23" s="323"/>
      <c r="P23" s="34" t="str">
        <f>IF(Aulas!M24=0,"",Aulas!M24)</f>
        <v/>
      </c>
      <c r="Q23" s="34" t="str">
        <f>IF(Aulas!T24=0,"",Aulas!T24)</f>
        <v/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x14ac:dyDescent="0.25">
      <c r="A24" s="129"/>
      <c r="B24" s="129"/>
      <c r="C24" s="129"/>
      <c r="D24" s="129"/>
      <c r="E24" s="129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ht="15.75" x14ac:dyDescent="0.25">
      <c r="A25" s="157" t="s">
        <v>101</v>
      </c>
      <c r="B25" s="161"/>
      <c r="C25" s="34"/>
      <c r="D25" s="162" t="str">
        <f>Orientações!I8</f>
        <v>7 h 0 min</v>
      </c>
      <c r="E25" s="12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ht="7.5" customHeight="1" x14ac:dyDescent="0.25">
      <c r="A26" s="34"/>
      <c r="B26" s="34"/>
      <c r="C26" s="34"/>
      <c r="D26" s="129"/>
      <c r="E26" s="129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x14ac:dyDescent="0.25">
      <c r="A27" s="158" t="s">
        <v>3</v>
      </c>
      <c r="B27" s="159"/>
      <c r="C27" s="159"/>
      <c r="D27" s="383" t="s">
        <v>175</v>
      </c>
      <c r="E27" s="384"/>
      <c r="F27" s="384"/>
      <c r="G27" s="384"/>
      <c r="H27" s="385"/>
      <c r="I27" s="376" t="s">
        <v>157</v>
      </c>
      <c r="J27" s="389"/>
      <c r="K27" s="376" t="s">
        <v>158</v>
      </c>
      <c r="L27" s="377"/>
      <c r="M27" s="389"/>
      <c r="N27" s="365" t="s">
        <v>155</v>
      </c>
      <c r="O27" s="37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x14ac:dyDescent="0.25">
      <c r="A28" s="110" t="str">
        <f>IF(Orientações!A12="","",Orientações!A12)</f>
        <v>TCC</v>
      </c>
      <c r="B28" s="34"/>
      <c r="C28" s="34"/>
      <c r="D28" s="386" t="str">
        <f>IF(Orientações!B12="","",Orientações!B12)</f>
        <v/>
      </c>
      <c r="E28" s="387"/>
      <c r="F28" s="387"/>
      <c r="G28" s="387"/>
      <c r="H28" s="388"/>
      <c r="I28" s="390">
        <f>IF(Orientações!C12="","",Orientações!C12)</f>
        <v>1</v>
      </c>
      <c r="J28" s="391"/>
      <c r="K28" s="390" t="str">
        <f t="shared" ref="K28:K35" si="2">IF(P28="","",INT(P28/60) &amp; " h " &amp; P28-(INT(P28/60)*60) &amp; " min")</f>
        <v>1 h 0 min</v>
      </c>
      <c r="L28" s="395"/>
      <c r="M28" s="391"/>
      <c r="N28" s="367" t="str">
        <f>IF(Orientações!I12="","",Orientações!I12)</f>
        <v>1 h 0 min</v>
      </c>
      <c r="O28" s="381"/>
      <c r="P28" s="75">
        <f>IF(Orientações!H12=0,"",Orientações!H12/Orientações!C12)</f>
        <v>60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x14ac:dyDescent="0.25">
      <c r="A29" s="110" t="str">
        <f>IF(Orientações!A13="","",Orientações!A13)</f>
        <v>Monitoria</v>
      </c>
      <c r="B29" s="34"/>
      <c r="C29" s="34"/>
      <c r="D29" s="386" t="str">
        <f>IF(Orientações!B13="","",Orientações!B13)</f>
        <v/>
      </c>
      <c r="E29" s="387"/>
      <c r="F29" s="387"/>
      <c r="G29" s="387"/>
      <c r="H29" s="388"/>
      <c r="I29" s="331">
        <f>IF(Orientações!C13="","",Orientações!C13)</f>
        <v>2</v>
      </c>
      <c r="J29" s="332"/>
      <c r="K29" s="331" t="str">
        <f t="shared" si="2"/>
        <v>2 h 0 min</v>
      </c>
      <c r="L29" s="375"/>
      <c r="M29" s="332"/>
      <c r="N29" s="324" t="str">
        <f>IF(Orientações!I13="","",Orientações!I13)</f>
        <v>4 h 0 min</v>
      </c>
      <c r="O29" s="325"/>
      <c r="P29" s="75">
        <f>IF(Orientações!H13=0,"",Orientações!H13/Orientações!C13)</f>
        <v>120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x14ac:dyDescent="0.25">
      <c r="A30" s="110" t="str">
        <f>IF(Orientações!A14="","",Orientações!A14)</f>
        <v>Estágio Docência</v>
      </c>
      <c r="B30" s="34"/>
      <c r="C30" s="34"/>
      <c r="D30" s="386" t="str">
        <f>IF(Orientações!B14="","",Orientações!B14)</f>
        <v/>
      </c>
      <c r="E30" s="387"/>
      <c r="F30" s="387"/>
      <c r="G30" s="387"/>
      <c r="H30" s="388"/>
      <c r="I30" s="331">
        <f>IF(Orientações!C14="","",Orientações!C14)</f>
        <v>1</v>
      </c>
      <c r="J30" s="332"/>
      <c r="K30" s="331" t="str">
        <f t="shared" si="2"/>
        <v>2 h 0 min</v>
      </c>
      <c r="L30" s="375"/>
      <c r="M30" s="332"/>
      <c r="N30" s="324" t="str">
        <f>IF(Orientações!I14="","",Orientações!I14)</f>
        <v>2 h 0 min</v>
      </c>
      <c r="O30" s="325"/>
      <c r="P30" s="75">
        <f>IF(Orientações!H14=0,"",Orientações!H14/Orientações!C14)</f>
        <v>120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x14ac:dyDescent="0.25">
      <c r="A31" s="110" t="str">
        <f>IF(Orientações!A15="","",Orientações!A15)</f>
        <v/>
      </c>
      <c r="B31" s="34"/>
      <c r="C31" s="34"/>
      <c r="D31" s="386" t="str">
        <f>IF(Orientações!B15="","",Orientações!B15)</f>
        <v/>
      </c>
      <c r="E31" s="387"/>
      <c r="F31" s="387"/>
      <c r="G31" s="387"/>
      <c r="H31" s="388"/>
      <c r="I31" s="331" t="str">
        <f>IF(Orientações!C15="","",Orientações!C15)</f>
        <v/>
      </c>
      <c r="J31" s="332"/>
      <c r="K31" s="331" t="str">
        <f t="shared" si="2"/>
        <v/>
      </c>
      <c r="L31" s="375"/>
      <c r="M31" s="332"/>
      <c r="N31" s="324" t="str">
        <f>IF(Orientações!I15="","",Orientações!I15)</f>
        <v/>
      </c>
      <c r="O31" s="325"/>
      <c r="P31" s="75" t="str">
        <f>IF(Orientações!H15=0,"",Orientações!H15/Orientações!C15)</f>
        <v/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x14ac:dyDescent="0.25">
      <c r="A32" s="110" t="str">
        <f>IF(Orientações!A16="","",Orientações!A16)</f>
        <v/>
      </c>
      <c r="B32" s="34"/>
      <c r="C32" s="34"/>
      <c r="D32" s="386" t="str">
        <f>IF(Orientações!B16="","",Orientações!B16)</f>
        <v/>
      </c>
      <c r="E32" s="387"/>
      <c r="F32" s="387"/>
      <c r="G32" s="387"/>
      <c r="H32" s="388"/>
      <c r="I32" s="331" t="str">
        <f>IF(Orientações!C16="","",Orientações!C16)</f>
        <v/>
      </c>
      <c r="J32" s="332"/>
      <c r="K32" s="331" t="str">
        <f>IF(P32="","",INT(P32/60) &amp; " h " &amp; P32-(INT(P32/60)*60) &amp; " min")</f>
        <v/>
      </c>
      <c r="L32" s="396"/>
      <c r="M32" s="332"/>
      <c r="N32" s="324" t="str">
        <f>IF(Orientações!I16="","",Orientações!I16)</f>
        <v/>
      </c>
      <c r="O32" s="325"/>
      <c r="P32" s="75" t="str">
        <f>IF(Orientações!H16=0,"",Orientações!H16/Orientações!C16)</f>
        <v/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x14ac:dyDescent="0.25">
      <c r="A33" s="110" t="str">
        <f>IF(Orientações!A17="","",Orientações!A17)</f>
        <v/>
      </c>
      <c r="B33" s="34"/>
      <c r="C33" s="34"/>
      <c r="D33" s="386" t="str">
        <f>IF(Orientações!B17="","",Orientações!B17)</f>
        <v/>
      </c>
      <c r="E33" s="387"/>
      <c r="F33" s="387"/>
      <c r="G33" s="387"/>
      <c r="H33" s="388"/>
      <c r="I33" s="331" t="str">
        <f>IF(Orientações!C17="","",Orientações!C17)</f>
        <v/>
      </c>
      <c r="J33" s="332"/>
      <c r="K33" s="331" t="str">
        <f>IF(P33="","",INT(P33/60) &amp; " h " &amp; P33-(INT(P33/60)*60) &amp; " min")</f>
        <v/>
      </c>
      <c r="L33" s="396"/>
      <c r="M33" s="332"/>
      <c r="N33" s="324" t="str">
        <f>IF(Orientações!I17="","",Orientações!I17)</f>
        <v/>
      </c>
      <c r="O33" s="325"/>
      <c r="P33" s="75" t="str">
        <f>IF(Orientações!H17=0,"",Orientações!H17/Orientações!C17)</f>
        <v/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x14ac:dyDescent="0.25">
      <c r="A34" s="110" t="str">
        <f>IF(Orientações!A18="","",Orientações!A18)</f>
        <v/>
      </c>
      <c r="B34" s="34"/>
      <c r="C34" s="34"/>
      <c r="D34" s="386" t="str">
        <f>IF(Orientações!B18="","",Orientações!B18)</f>
        <v/>
      </c>
      <c r="E34" s="387"/>
      <c r="F34" s="387"/>
      <c r="G34" s="387"/>
      <c r="H34" s="388"/>
      <c r="I34" s="331" t="str">
        <f>IF(Orientações!C18="","",Orientações!C18)</f>
        <v/>
      </c>
      <c r="J34" s="332"/>
      <c r="K34" s="331" t="str">
        <f t="shared" ref="K33:K35" si="3">IF(P34="","",INT(P34/60) &amp; " h " &amp; P34-(INT(P34/60)*60) &amp; " min")</f>
        <v/>
      </c>
      <c r="L34" s="396"/>
      <c r="M34" s="332"/>
      <c r="N34" s="324" t="str">
        <f>IF(Orientações!I18="","",Orientações!I18)</f>
        <v/>
      </c>
      <c r="O34" s="325"/>
      <c r="P34" s="75" t="str">
        <f>IF(Orientações!H18=0,"",Orientações!H18/Orientações!C18)</f>
        <v/>
      </c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x14ac:dyDescent="0.25">
      <c r="A35" s="164" t="str">
        <f>IF(Orientações!A19="","",Orientações!A19)</f>
        <v/>
      </c>
      <c r="B35" s="156"/>
      <c r="C35" s="156"/>
      <c r="D35" s="392" t="str">
        <f>IF(Orientações!B19="","",Orientações!B19)</f>
        <v/>
      </c>
      <c r="E35" s="393"/>
      <c r="F35" s="393"/>
      <c r="G35" s="393"/>
      <c r="H35" s="394"/>
      <c r="I35" s="333" t="str">
        <f>IF(Orientações!C19="","",Orientações!C19)</f>
        <v/>
      </c>
      <c r="J35" s="334"/>
      <c r="K35" s="333" t="str">
        <f t="shared" si="3"/>
        <v/>
      </c>
      <c r="L35" s="382"/>
      <c r="M35" s="334"/>
      <c r="N35" s="322" t="str">
        <f>IF(Orientações!I19="","",Orientações!I19)</f>
        <v/>
      </c>
      <c r="O35" s="323"/>
      <c r="P35" s="75" t="str">
        <f>IF(Orientações!H19=0,"",Orientações!H19/Orientações!C19)</f>
        <v/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x14ac:dyDescent="0.25">
      <c r="A36" s="34"/>
      <c r="B36" s="34"/>
      <c r="C36" s="34"/>
      <c r="D36" s="154"/>
      <c r="E36" s="154"/>
      <c r="F36" s="154"/>
      <c r="G36" s="154"/>
      <c r="H36" s="154"/>
      <c r="I36" s="166"/>
      <c r="J36" s="166"/>
      <c r="K36" s="34"/>
      <c r="L36" s="34"/>
      <c r="M36" s="34"/>
      <c r="N36" s="34"/>
      <c r="O36" s="34"/>
      <c r="P36" s="75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x14ac:dyDescent="0.25">
      <c r="A37" s="34"/>
      <c r="B37" s="34"/>
      <c r="C37" s="34"/>
      <c r="D37" s="34"/>
      <c r="E37" s="34"/>
      <c r="F37" s="34"/>
      <c r="G37" s="34"/>
      <c r="H37" s="335">
        <f ca="1">TODAY()</f>
        <v>45953</v>
      </c>
      <c r="I37" s="335"/>
      <c r="J37" s="335"/>
      <c r="K37" s="34"/>
      <c r="L37" s="34"/>
      <c r="M37" s="34"/>
      <c r="N37" s="34"/>
      <c r="O37" s="57" t="s">
        <v>204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5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ht="15.75" x14ac:dyDescent="0.25">
      <c r="A39" s="157" t="s">
        <v>108</v>
      </c>
      <c r="B39" s="35"/>
      <c r="C39" s="34"/>
      <c r="D39" s="157" t="str">
        <f>Pesquisa!C8</f>
        <v>2 h 30 min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ht="7.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x14ac:dyDescent="0.25">
      <c r="A41" s="336" t="s">
        <v>77</v>
      </c>
      <c r="B41" s="337"/>
      <c r="C41" s="337"/>
      <c r="D41" s="337"/>
      <c r="E41" s="175"/>
      <c r="F41" s="175"/>
      <c r="G41" s="159"/>
      <c r="H41" s="159"/>
      <c r="I41" s="159"/>
      <c r="J41" s="159"/>
      <c r="K41" s="159"/>
      <c r="L41" s="159"/>
      <c r="M41" s="160"/>
      <c r="N41" s="365" t="s">
        <v>155</v>
      </c>
      <c r="O41" s="372"/>
      <c r="P41" s="146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x14ac:dyDescent="0.25">
      <c r="A42" s="338" t="str">
        <f>IF(Pesquisa!A12="","",Pesquisa!A12)</f>
        <v>Exemplo ABC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40"/>
      <c r="N42" s="324" t="str">
        <f t="shared" ref="N42" si="4">IF(P42="","",INT(P42/60) &amp; " h " &amp; P42-(INT(P42/60)*60) &amp; " min")</f>
        <v>2 h 30 min</v>
      </c>
      <c r="O42" s="325"/>
      <c r="P42" s="75">
        <f>IF(Pesquisa!F12=0,"",Pesquisa!F12)</f>
        <v>150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67"/>
      <c r="AE42" s="167"/>
    </row>
    <row r="43" spans="1:31" x14ac:dyDescent="0.25">
      <c r="A43" s="326" t="str">
        <f>IF(Pesquisa!A13="","",Pesquisa!A13)</f>
        <v/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41"/>
      <c r="N43" s="324" t="str">
        <f t="shared" ref="N43:N49" si="5">IF(P43="","",INT(P43/60) &amp; " h " &amp; P43-(INT(P43/60)*60) &amp; " min")</f>
        <v/>
      </c>
      <c r="O43" s="325"/>
      <c r="P43" s="75" t="str">
        <f>IF(Pesquisa!F13=0,"",Pesquisa!F13)</f>
        <v/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67"/>
      <c r="AE43" s="167"/>
    </row>
    <row r="44" spans="1:31" x14ac:dyDescent="0.25">
      <c r="A44" s="326" t="str">
        <f>IF(Pesquisa!A14="","",Pesquisa!A14)</f>
        <v/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41"/>
      <c r="N44" s="324" t="str">
        <f t="shared" si="5"/>
        <v/>
      </c>
      <c r="O44" s="325"/>
      <c r="P44" s="75" t="str">
        <f>IF(Pesquisa!F14=0,"",Pesquisa!F14)</f>
        <v/>
      </c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67"/>
      <c r="AE44" s="167"/>
    </row>
    <row r="45" spans="1:31" x14ac:dyDescent="0.25">
      <c r="A45" s="326" t="str">
        <f>IF(Pesquisa!A15="","",Pesquisa!A15)</f>
        <v/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41"/>
      <c r="N45" s="324" t="str">
        <f t="shared" si="5"/>
        <v/>
      </c>
      <c r="O45" s="325"/>
      <c r="P45" s="75" t="str">
        <f>IF(Pesquisa!F15=0,"",Pesquisa!F15)</f>
        <v/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67"/>
      <c r="AE45" s="167"/>
    </row>
    <row r="46" spans="1:31" x14ac:dyDescent="0.25">
      <c r="A46" s="326" t="str">
        <f>IF(Pesquisa!A16="","",Pesquisa!A16)</f>
        <v/>
      </c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41"/>
      <c r="N46" s="324" t="str">
        <f t="shared" si="5"/>
        <v/>
      </c>
      <c r="O46" s="325"/>
      <c r="P46" s="75" t="str">
        <f>IF(Pesquisa!F16=0,"",Pesquisa!F16)</f>
        <v/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67"/>
      <c r="AE46" s="167"/>
    </row>
    <row r="47" spans="1:31" x14ac:dyDescent="0.25">
      <c r="A47" s="326" t="str">
        <f>IF(Pesquisa!A17="","",Pesquisa!A17)</f>
        <v/>
      </c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41"/>
      <c r="N47" s="324" t="str">
        <f t="shared" si="5"/>
        <v/>
      </c>
      <c r="O47" s="325"/>
      <c r="P47" s="75" t="str">
        <f>IF(Pesquisa!F17=0,"",Pesquisa!F17)</f>
        <v/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67"/>
      <c r="AE47" s="167"/>
    </row>
    <row r="48" spans="1:31" x14ac:dyDescent="0.25">
      <c r="A48" s="326" t="str">
        <f>IF(Pesquisa!A18="","",Pesquisa!A18)</f>
        <v/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41"/>
      <c r="N48" s="324" t="str">
        <f t="shared" si="5"/>
        <v/>
      </c>
      <c r="O48" s="325"/>
      <c r="P48" s="75" t="str">
        <f>IF(Pesquisa!F18=0,"",Pesquisa!F18)</f>
        <v/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67"/>
      <c r="AE48" s="167"/>
    </row>
    <row r="49" spans="1:31" x14ac:dyDescent="0.25">
      <c r="A49" s="369" t="str">
        <f>IF(Pesquisa!A19="","",Pesquisa!A19)</f>
        <v/>
      </c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322" t="str">
        <f t="shared" si="5"/>
        <v/>
      </c>
      <c r="O49" s="323"/>
      <c r="P49" s="75" t="str">
        <f>IF(Pesquisa!F19=0,"",Pesquisa!F19)</f>
        <v/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67"/>
      <c r="AE49" s="167"/>
    </row>
    <row r="50" spans="1:3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75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67"/>
      <c r="AE50" s="167"/>
    </row>
    <row r="51" spans="1:31" ht="15.75" x14ac:dyDescent="0.25">
      <c r="A51" s="157" t="s">
        <v>111</v>
      </c>
      <c r="B51" s="34"/>
      <c r="C51" s="34"/>
      <c r="D51" s="157" t="str">
        <f>Extensão!G8</f>
        <v>2 h 0 min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75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67"/>
      <c r="AE51" s="167"/>
    </row>
    <row r="52" spans="1:31" ht="7.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75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67"/>
      <c r="AE52" s="167"/>
    </row>
    <row r="53" spans="1:31" x14ac:dyDescent="0.25">
      <c r="A53" s="336" t="s">
        <v>77</v>
      </c>
      <c r="B53" s="337"/>
      <c r="C53" s="337"/>
      <c r="D53" s="337"/>
      <c r="E53" s="175"/>
      <c r="F53" s="175"/>
      <c r="G53" s="159"/>
      <c r="H53" s="159"/>
      <c r="I53" s="159"/>
      <c r="J53" s="159"/>
      <c r="K53" s="159"/>
      <c r="L53" s="159"/>
      <c r="M53" s="160"/>
      <c r="N53" s="365" t="s">
        <v>155</v>
      </c>
      <c r="O53" s="372"/>
      <c r="P53" s="75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67"/>
      <c r="AE53" s="167"/>
    </row>
    <row r="54" spans="1:31" x14ac:dyDescent="0.25">
      <c r="A54" s="326" t="str">
        <f>IF(Extensão!A12="","",Extensão!A12)</f>
        <v>Projeto XYZ</v>
      </c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41"/>
      <c r="N54" s="324" t="str">
        <f t="shared" ref="N54:N61" si="6">IF(P54="","",INT(P54/60) &amp; " h " &amp; P54-(INT(P54/60)*60) &amp; " min")</f>
        <v>2 h 0 min</v>
      </c>
      <c r="O54" s="325"/>
      <c r="P54" s="75">
        <f>IF(Extensão!F12=0,"",Extensão!F12)</f>
        <v>120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67"/>
      <c r="AE54" s="167"/>
    </row>
    <row r="55" spans="1:31" x14ac:dyDescent="0.25">
      <c r="A55" s="326" t="str">
        <f>IF(Extensão!A13="","",Extensão!A13)</f>
        <v/>
      </c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41"/>
      <c r="N55" s="324" t="str">
        <f t="shared" si="6"/>
        <v/>
      </c>
      <c r="O55" s="325"/>
      <c r="P55" s="75" t="str">
        <f>IF(Extensão!F13=0,"",Extensão!F13)</f>
        <v/>
      </c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67"/>
      <c r="AE55" s="167"/>
    </row>
    <row r="56" spans="1:31" x14ac:dyDescent="0.25">
      <c r="A56" s="326" t="str">
        <f>IF(Extensão!A14="","",Extensão!A14)</f>
        <v/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41"/>
      <c r="N56" s="324" t="str">
        <f t="shared" si="6"/>
        <v/>
      </c>
      <c r="O56" s="325"/>
      <c r="P56" s="75" t="str">
        <f>IF(Extensão!F14=0,"",Extensão!F14)</f>
        <v/>
      </c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67"/>
      <c r="AE56" s="167"/>
    </row>
    <row r="57" spans="1:31" x14ac:dyDescent="0.25">
      <c r="A57" s="326" t="str">
        <f>IF(Extensão!A15="","",Extensão!A15)</f>
        <v/>
      </c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41"/>
      <c r="N57" s="324" t="str">
        <f t="shared" si="6"/>
        <v/>
      </c>
      <c r="O57" s="325"/>
      <c r="P57" s="75" t="str">
        <f>IF(Extensão!F15=0,"",Extensão!F15)</f>
        <v/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67"/>
      <c r="AE57" s="167"/>
    </row>
    <row r="58" spans="1:31" x14ac:dyDescent="0.25">
      <c r="A58" s="326" t="str">
        <f>IF(Extensão!A16="","",Extensão!A16)</f>
        <v/>
      </c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41"/>
      <c r="N58" s="324" t="str">
        <f t="shared" si="6"/>
        <v/>
      </c>
      <c r="O58" s="325"/>
      <c r="P58" s="75" t="str">
        <f>IF(Extensão!F16=0,"",Extensão!F16)</f>
        <v/>
      </c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67"/>
      <c r="AE58" s="167"/>
    </row>
    <row r="59" spans="1:31" x14ac:dyDescent="0.25">
      <c r="A59" s="326" t="str">
        <f>IF(Extensão!A17="","",Extensão!A17)</f>
        <v/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41"/>
      <c r="N59" s="324" t="str">
        <f t="shared" si="6"/>
        <v/>
      </c>
      <c r="O59" s="325"/>
      <c r="P59" s="75" t="str">
        <f>IF(Extensão!F17=0,"",Extensão!F17)</f>
        <v/>
      </c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67"/>
      <c r="AE59" s="167"/>
    </row>
    <row r="60" spans="1:31" x14ac:dyDescent="0.25">
      <c r="A60" s="326" t="str">
        <f>IF(Extensão!A18="","",Extensão!A18)</f>
        <v/>
      </c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41"/>
      <c r="N60" s="324" t="str">
        <f t="shared" si="6"/>
        <v/>
      </c>
      <c r="O60" s="325"/>
      <c r="P60" s="75" t="str">
        <f>IF(Extensão!F18=0,"",Extensão!F18)</f>
        <v/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67"/>
      <c r="AE60" s="167"/>
    </row>
    <row r="61" spans="1:31" x14ac:dyDescent="0.25">
      <c r="A61" s="369" t="str">
        <f>IF(Extensão!A19="","",Extensão!A19)</f>
        <v/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322" t="str">
        <f t="shared" si="6"/>
        <v/>
      </c>
      <c r="O61" s="323"/>
      <c r="P61" s="75" t="str">
        <f>IF(Extensão!F19=0,"",Extensão!F19)</f>
        <v/>
      </c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67"/>
      <c r="AE61" s="167"/>
    </row>
    <row r="62" spans="1:3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146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67"/>
      <c r="AE62" s="167"/>
    </row>
    <row r="63" spans="1:3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146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67"/>
      <c r="AE63" s="167"/>
    </row>
    <row r="64" spans="1:3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67"/>
      <c r="AE64" s="167"/>
    </row>
    <row r="65" spans="1:31" x14ac:dyDescent="0.25">
      <c r="A65" s="34"/>
      <c r="B65" s="34"/>
      <c r="C65" s="34"/>
      <c r="D65" s="34"/>
      <c r="E65" s="34"/>
      <c r="F65" s="34"/>
      <c r="G65" s="34"/>
      <c r="H65" s="335">
        <f ca="1">TODAY()</f>
        <v>45953</v>
      </c>
      <c r="I65" s="335"/>
      <c r="J65" s="335"/>
      <c r="K65" s="34"/>
      <c r="L65" s="34"/>
      <c r="M65" s="34"/>
      <c r="N65" s="34"/>
      <c r="O65" s="57" t="s">
        <v>205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67"/>
      <c r="AE65" s="167"/>
    </row>
    <row r="66" spans="1:3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67"/>
      <c r="AE66" s="167"/>
    </row>
    <row r="67" spans="1:31" ht="15.75" x14ac:dyDescent="0.25">
      <c r="A67" s="157" t="s">
        <v>112</v>
      </c>
      <c r="B67" s="34"/>
      <c r="C67" s="34"/>
      <c r="D67" s="157" t="str">
        <f>Gestão!G9</f>
        <v>3 h 0 min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67"/>
      <c r="AE67" s="167"/>
    </row>
    <row r="68" spans="1:31" ht="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67"/>
      <c r="AE68" s="167"/>
    </row>
    <row r="69" spans="1:31" x14ac:dyDescent="0.25">
      <c r="A69" s="158" t="s">
        <v>3</v>
      </c>
      <c r="B69" s="159"/>
      <c r="C69" s="159"/>
      <c r="D69" s="158" t="s">
        <v>77</v>
      </c>
      <c r="E69" s="159"/>
      <c r="F69" s="159"/>
      <c r="G69" s="159"/>
      <c r="H69" s="175"/>
      <c r="I69" s="175"/>
      <c r="J69" s="159"/>
      <c r="K69" s="159"/>
      <c r="L69" s="159"/>
      <c r="M69" s="160"/>
      <c r="N69" s="366" t="s">
        <v>155</v>
      </c>
      <c r="O69" s="372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67"/>
      <c r="AE69" s="167"/>
    </row>
    <row r="70" spans="1:31" x14ac:dyDescent="0.25">
      <c r="A70" s="168" t="str">
        <f>IF(Gestão!A13="","",Gestão!A13)</f>
        <v>Membro NDE</v>
      </c>
      <c r="B70" s="34"/>
      <c r="C70" s="34"/>
      <c r="D70" s="342" t="str">
        <f>IF(Gestão!C13="","",Gestão!C13)</f>
        <v>Curso de Graduação X</v>
      </c>
      <c r="E70" s="343"/>
      <c r="F70" s="343"/>
      <c r="G70" s="343"/>
      <c r="H70" s="343"/>
      <c r="I70" s="343"/>
      <c r="J70" s="343"/>
      <c r="K70" s="343"/>
      <c r="L70" s="343"/>
      <c r="M70" s="344"/>
      <c r="N70" s="348" t="str">
        <f t="shared" ref="N70:N79" si="7">IF(P70="","",INT(P70/60) &amp; " h " &amp; P70-(INT(P70/60)*60) &amp; " min")</f>
        <v>1 h 0 min</v>
      </c>
      <c r="O70" s="325"/>
      <c r="P70" s="75">
        <f>IF(Gestão!I13=0,"",Gestão!I13)</f>
        <v>60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67"/>
      <c r="AE70" s="167"/>
    </row>
    <row r="71" spans="1:31" x14ac:dyDescent="0.25">
      <c r="A71" s="168" t="str">
        <f>IF(Gestão!A14="","",Gestão!A14)</f>
        <v>Membro comissão interna</v>
      </c>
      <c r="B71" s="34"/>
      <c r="C71" s="34"/>
      <c r="D71" s="342" t="str">
        <f>IF(Gestão!C14="","",Gestão!C14)</f>
        <v>Avaliação docente</v>
      </c>
      <c r="E71" s="343"/>
      <c r="F71" s="343"/>
      <c r="G71" s="343"/>
      <c r="H71" s="343"/>
      <c r="I71" s="343"/>
      <c r="J71" s="343"/>
      <c r="K71" s="343"/>
      <c r="L71" s="343"/>
      <c r="M71" s="344"/>
      <c r="N71" s="348" t="str">
        <f t="shared" si="7"/>
        <v>1 h 0 min</v>
      </c>
      <c r="O71" s="325"/>
      <c r="P71" s="75">
        <f>IF(Gestão!I14=0,"",Gestão!I14)</f>
        <v>60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67"/>
      <c r="AE71" s="167"/>
    </row>
    <row r="72" spans="1:31" x14ac:dyDescent="0.25">
      <c r="A72" s="168" t="str">
        <f>IF(Gestão!A15="","",Gestão!A15)</f>
        <v>Membro Conselho</v>
      </c>
      <c r="B72" s="34"/>
      <c r="C72" s="34"/>
      <c r="D72" s="342" t="str">
        <f>IF(Gestão!C15="","",Gestão!C15)</f>
        <v>Conselho da Faculdade X</v>
      </c>
      <c r="E72" s="343"/>
      <c r="F72" s="343"/>
      <c r="G72" s="343"/>
      <c r="H72" s="343"/>
      <c r="I72" s="343"/>
      <c r="J72" s="343"/>
      <c r="K72" s="343"/>
      <c r="L72" s="343"/>
      <c r="M72" s="344"/>
      <c r="N72" s="348" t="str">
        <f t="shared" si="7"/>
        <v>1 h 0 min</v>
      </c>
      <c r="O72" s="325"/>
      <c r="P72" s="75">
        <f>IF(Gestão!I15=0,"",Gestão!I15)</f>
        <v>60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67"/>
      <c r="AE72" s="167"/>
    </row>
    <row r="73" spans="1:31" x14ac:dyDescent="0.25">
      <c r="A73" s="168" t="str">
        <f>IF(Gestão!A16="","",Gestão!A16)</f>
        <v/>
      </c>
      <c r="B73" s="34"/>
      <c r="C73" s="34"/>
      <c r="D73" s="342" t="str">
        <f>IF(Gestão!C16="","",Gestão!C16)</f>
        <v/>
      </c>
      <c r="E73" s="343"/>
      <c r="F73" s="343"/>
      <c r="G73" s="343"/>
      <c r="H73" s="343"/>
      <c r="I73" s="343"/>
      <c r="J73" s="343"/>
      <c r="K73" s="343"/>
      <c r="L73" s="343"/>
      <c r="M73" s="344"/>
      <c r="N73" s="348" t="str">
        <f t="shared" si="7"/>
        <v/>
      </c>
      <c r="O73" s="325"/>
      <c r="P73" s="75" t="str">
        <f>IF(Gestão!I16=0,"",Gestão!I16)</f>
        <v/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67"/>
      <c r="AE73" s="167"/>
    </row>
    <row r="74" spans="1:31" x14ac:dyDescent="0.25">
      <c r="A74" s="168" t="str">
        <f>IF(Gestão!A17="","",Gestão!A17)</f>
        <v/>
      </c>
      <c r="B74" s="34"/>
      <c r="C74" s="34"/>
      <c r="D74" s="342" t="str">
        <f>IF(Gestão!C17="","",Gestão!C17)</f>
        <v/>
      </c>
      <c r="E74" s="343"/>
      <c r="F74" s="343"/>
      <c r="G74" s="343"/>
      <c r="H74" s="343"/>
      <c r="I74" s="343"/>
      <c r="J74" s="343"/>
      <c r="K74" s="343"/>
      <c r="L74" s="343"/>
      <c r="M74" s="344"/>
      <c r="N74" s="348" t="str">
        <f t="shared" si="7"/>
        <v/>
      </c>
      <c r="O74" s="325"/>
      <c r="P74" s="75" t="str">
        <f>IF(Gestão!I17=0,"",Gestão!I17)</f>
        <v/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67"/>
      <c r="AE74" s="167"/>
    </row>
    <row r="75" spans="1:31" x14ac:dyDescent="0.25">
      <c r="A75" s="168" t="str">
        <f>IF(Gestão!A18="","",Gestão!A18)</f>
        <v/>
      </c>
      <c r="B75" s="34"/>
      <c r="C75" s="34"/>
      <c r="D75" s="342" t="str">
        <f>IF(Gestão!C18="","",Gestão!C18)</f>
        <v/>
      </c>
      <c r="E75" s="343"/>
      <c r="F75" s="343"/>
      <c r="G75" s="343"/>
      <c r="H75" s="343"/>
      <c r="I75" s="343"/>
      <c r="J75" s="343"/>
      <c r="K75" s="343"/>
      <c r="L75" s="343"/>
      <c r="M75" s="344"/>
      <c r="N75" s="348" t="str">
        <f t="shared" si="7"/>
        <v/>
      </c>
      <c r="O75" s="325"/>
      <c r="P75" s="75" t="str">
        <f>IF(Gestão!I18=0,"",Gestão!I18)</f>
        <v/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67"/>
      <c r="AE75" s="167"/>
    </row>
    <row r="76" spans="1:31" x14ac:dyDescent="0.25">
      <c r="A76" s="168" t="str">
        <f>IF(Gestão!A19="","",Gestão!A19)</f>
        <v/>
      </c>
      <c r="B76" s="34"/>
      <c r="C76" s="34"/>
      <c r="D76" s="342" t="str">
        <f>IF(Gestão!C19="","",Gestão!C19)</f>
        <v/>
      </c>
      <c r="E76" s="343"/>
      <c r="F76" s="343"/>
      <c r="G76" s="343"/>
      <c r="H76" s="343"/>
      <c r="I76" s="343"/>
      <c r="J76" s="343"/>
      <c r="K76" s="343"/>
      <c r="L76" s="343"/>
      <c r="M76" s="344"/>
      <c r="N76" s="348" t="str">
        <f t="shared" si="7"/>
        <v/>
      </c>
      <c r="O76" s="325"/>
      <c r="P76" s="75" t="str">
        <f>IF(Gestão!I19=0,"",Gestão!I19)</f>
        <v/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67"/>
      <c r="AE76" s="167"/>
    </row>
    <row r="77" spans="1:31" x14ac:dyDescent="0.25">
      <c r="A77" s="168" t="str">
        <f>IF(Gestão!A20="","",Gestão!A20)</f>
        <v/>
      </c>
      <c r="B77" s="34"/>
      <c r="C77" s="34"/>
      <c r="D77" s="342" t="str">
        <f>IF(Gestão!C20="","",Gestão!C20)</f>
        <v/>
      </c>
      <c r="E77" s="343"/>
      <c r="F77" s="343"/>
      <c r="G77" s="343"/>
      <c r="H77" s="343"/>
      <c r="I77" s="343"/>
      <c r="J77" s="343"/>
      <c r="K77" s="343"/>
      <c r="L77" s="343"/>
      <c r="M77" s="344"/>
      <c r="N77" s="348" t="str">
        <f t="shared" si="7"/>
        <v/>
      </c>
      <c r="O77" s="325"/>
      <c r="P77" s="75" t="str">
        <f>IF(Gestão!I20=0,"",Gestão!I20)</f>
        <v/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67"/>
      <c r="AE77" s="167"/>
    </row>
    <row r="78" spans="1:31" x14ac:dyDescent="0.25">
      <c r="A78" s="168" t="str">
        <f>IF(Gestão!A21="","",Gestão!A21)</f>
        <v/>
      </c>
      <c r="B78" s="34"/>
      <c r="C78" s="34"/>
      <c r="D78" s="342" t="str">
        <f>IF(Gestão!C21="","",Gestão!C21)</f>
        <v/>
      </c>
      <c r="E78" s="343"/>
      <c r="F78" s="343"/>
      <c r="G78" s="343"/>
      <c r="H78" s="343"/>
      <c r="I78" s="343"/>
      <c r="J78" s="343"/>
      <c r="K78" s="343"/>
      <c r="L78" s="343"/>
      <c r="M78" s="344"/>
      <c r="N78" s="348" t="str">
        <f t="shared" si="7"/>
        <v/>
      </c>
      <c r="O78" s="325"/>
      <c r="P78" s="75" t="str">
        <f>IF(Gestão!I21=0,"",Gestão!I21)</f>
        <v/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67"/>
      <c r="AE78" s="167"/>
    </row>
    <row r="79" spans="1:31" x14ac:dyDescent="0.25">
      <c r="A79" s="169" t="str">
        <f>IF(Gestão!A22="","",Gestão!A22)</f>
        <v/>
      </c>
      <c r="B79" s="156"/>
      <c r="C79" s="156"/>
      <c r="D79" s="345" t="str">
        <f>IF(Gestão!C22="","",Gestão!C22)</f>
        <v/>
      </c>
      <c r="E79" s="346"/>
      <c r="F79" s="346"/>
      <c r="G79" s="346"/>
      <c r="H79" s="346"/>
      <c r="I79" s="346"/>
      <c r="J79" s="346"/>
      <c r="K79" s="346"/>
      <c r="L79" s="346"/>
      <c r="M79" s="347"/>
      <c r="N79" s="349" t="str">
        <f t="shared" si="7"/>
        <v/>
      </c>
      <c r="O79" s="323"/>
      <c r="P79" s="75" t="str">
        <f>IF(Gestão!I22=0,"",Gestão!I22)</f>
        <v/>
      </c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67"/>
      <c r="AE79" s="167"/>
    </row>
    <row r="80" spans="1:3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67"/>
      <c r="AE80" s="167"/>
    </row>
    <row r="81" spans="1:31" ht="15.75" x14ac:dyDescent="0.25">
      <c r="A81" s="157" t="s">
        <v>97</v>
      </c>
      <c r="B81" s="34"/>
      <c r="C81" s="34"/>
      <c r="D81" s="157" t="str">
        <f>Outras!G10</f>
        <v>3 h 10 min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146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67"/>
      <c r="AE81" s="167"/>
    </row>
    <row r="82" spans="1:31" ht="7.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146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67"/>
      <c r="AE82" s="167"/>
    </row>
    <row r="83" spans="1:31" x14ac:dyDescent="0.25">
      <c r="A83" s="336" t="s">
        <v>77</v>
      </c>
      <c r="B83" s="337"/>
      <c r="C83" s="337"/>
      <c r="D83" s="337"/>
      <c r="E83" s="175"/>
      <c r="F83" s="183"/>
      <c r="G83" s="175"/>
      <c r="H83" s="159"/>
      <c r="I83" s="159"/>
      <c r="J83" s="160"/>
      <c r="K83" s="365" t="s">
        <v>155</v>
      </c>
      <c r="L83" s="366"/>
      <c r="M83" s="159"/>
      <c r="N83" s="159"/>
      <c r="O83" s="160"/>
      <c r="P83" s="146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67"/>
      <c r="AE83" s="167"/>
    </row>
    <row r="84" spans="1:31" x14ac:dyDescent="0.25">
      <c r="A84" s="342" t="str">
        <f>IF(Outras!A14="","",Outras!A14)</f>
        <v>Exemplo</v>
      </c>
      <c r="B84" s="343"/>
      <c r="C84" s="343"/>
      <c r="D84" s="343"/>
      <c r="E84" s="343"/>
      <c r="F84" s="343"/>
      <c r="G84" s="343"/>
      <c r="H84" s="343"/>
      <c r="I84" s="343"/>
      <c r="J84" s="344"/>
      <c r="K84" s="367" t="str">
        <f t="shared" ref="K84:K91" si="8">IF(P84="","",INT(P84/60) &amp; " h " &amp; P84-(INT(P84/60)*60) &amp; " min")</f>
        <v>2 h 0 min</v>
      </c>
      <c r="L84" s="368"/>
      <c r="M84" s="34"/>
      <c r="N84" s="34"/>
      <c r="O84" s="163"/>
      <c r="P84" s="75">
        <f>IF(Outras!H14=0,"",Outras!H14)</f>
        <v>120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67"/>
      <c r="AE84" s="167"/>
    </row>
    <row r="85" spans="1:31" x14ac:dyDescent="0.25">
      <c r="A85" s="342" t="str">
        <f>IF(Outras!A15="","",Outras!A15)</f>
        <v>Outro exemplo</v>
      </c>
      <c r="B85" s="343"/>
      <c r="C85" s="343"/>
      <c r="D85" s="343"/>
      <c r="E85" s="343"/>
      <c r="F85" s="343"/>
      <c r="G85" s="343"/>
      <c r="H85" s="343"/>
      <c r="I85" s="343"/>
      <c r="J85" s="344"/>
      <c r="K85" s="324" t="str">
        <f t="shared" si="8"/>
        <v>1 h 10 min</v>
      </c>
      <c r="L85" s="348"/>
      <c r="M85" s="34"/>
      <c r="N85" s="34"/>
      <c r="O85" s="163"/>
      <c r="P85" s="75">
        <f>IF(Outras!H15=0,"",Outras!H15)</f>
        <v>70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67"/>
      <c r="AE85" s="167"/>
    </row>
    <row r="86" spans="1:31" x14ac:dyDescent="0.25">
      <c r="A86" s="342" t="str">
        <f>IF(Outras!A16="","",Outras!A16)</f>
        <v/>
      </c>
      <c r="B86" s="343"/>
      <c r="C86" s="343"/>
      <c r="D86" s="343"/>
      <c r="E86" s="343"/>
      <c r="F86" s="343"/>
      <c r="G86" s="343"/>
      <c r="H86" s="343"/>
      <c r="I86" s="343"/>
      <c r="J86" s="344"/>
      <c r="K86" s="324" t="str">
        <f t="shared" si="8"/>
        <v/>
      </c>
      <c r="L86" s="348"/>
      <c r="M86" s="34"/>
      <c r="N86" s="34"/>
      <c r="O86" s="163"/>
      <c r="P86" s="75" t="str">
        <f>IF(Outras!H16=0,"",Outras!H16)</f>
        <v/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67"/>
      <c r="AE86" s="167"/>
    </row>
    <row r="87" spans="1:31" x14ac:dyDescent="0.25">
      <c r="A87" s="342" t="str">
        <f>IF(Outras!A17="","",Outras!A17)</f>
        <v/>
      </c>
      <c r="B87" s="343"/>
      <c r="C87" s="343"/>
      <c r="D87" s="343"/>
      <c r="E87" s="343"/>
      <c r="F87" s="343"/>
      <c r="G87" s="343"/>
      <c r="H87" s="343"/>
      <c r="I87" s="343"/>
      <c r="J87" s="344"/>
      <c r="K87" s="324" t="str">
        <f t="shared" si="8"/>
        <v/>
      </c>
      <c r="L87" s="348"/>
      <c r="M87" s="34"/>
      <c r="N87" s="34"/>
      <c r="O87" s="163"/>
      <c r="P87" s="75" t="str">
        <f>IF(Outras!H17=0,"",Outras!H17)</f>
        <v/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67"/>
      <c r="AE87" s="167"/>
    </row>
    <row r="88" spans="1:31" x14ac:dyDescent="0.25">
      <c r="A88" s="342" t="str">
        <f>IF(Outras!A18="","",Outras!A18)</f>
        <v/>
      </c>
      <c r="B88" s="343"/>
      <c r="C88" s="343"/>
      <c r="D88" s="343"/>
      <c r="E88" s="343"/>
      <c r="F88" s="343"/>
      <c r="G88" s="343"/>
      <c r="H88" s="343"/>
      <c r="I88" s="343"/>
      <c r="J88" s="344"/>
      <c r="K88" s="324" t="str">
        <f t="shared" si="8"/>
        <v/>
      </c>
      <c r="L88" s="348"/>
      <c r="M88" s="34"/>
      <c r="N88" s="34"/>
      <c r="O88" s="163"/>
      <c r="P88" s="75" t="str">
        <f>IF(Outras!H18=0,"",Outras!H18)</f>
        <v/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67"/>
      <c r="AE88" s="167"/>
    </row>
    <row r="89" spans="1:31" x14ac:dyDescent="0.25">
      <c r="A89" s="342" t="str">
        <f>IF(Outras!A19="","",Outras!A19)</f>
        <v/>
      </c>
      <c r="B89" s="343"/>
      <c r="C89" s="343"/>
      <c r="D89" s="343"/>
      <c r="E89" s="343"/>
      <c r="F89" s="343"/>
      <c r="G89" s="343"/>
      <c r="H89" s="343"/>
      <c r="I89" s="343"/>
      <c r="J89" s="344"/>
      <c r="K89" s="324" t="str">
        <f t="shared" si="8"/>
        <v/>
      </c>
      <c r="L89" s="348"/>
      <c r="M89" s="34"/>
      <c r="N89" s="34"/>
      <c r="O89" s="163"/>
      <c r="P89" s="75" t="str">
        <f>IF(Outras!H19=0,"",Outras!H19)</f>
        <v/>
      </c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67"/>
      <c r="AE89" s="167"/>
    </row>
    <row r="90" spans="1:31" x14ac:dyDescent="0.25">
      <c r="A90" s="342" t="str">
        <f>IF(Outras!A20="","",Outras!A20)</f>
        <v/>
      </c>
      <c r="B90" s="343"/>
      <c r="C90" s="343"/>
      <c r="D90" s="343"/>
      <c r="E90" s="343"/>
      <c r="F90" s="343"/>
      <c r="G90" s="343"/>
      <c r="H90" s="343"/>
      <c r="I90" s="343"/>
      <c r="J90" s="344"/>
      <c r="K90" s="324" t="str">
        <f t="shared" si="8"/>
        <v/>
      </c>
      <c r="L90" s="348"/>
      <c r="M90" s="34"/>
      <c r="N90" s="34"/>
      <c r="O90" s="163"/>
      <c r="P90" s="75" t="str">
        <f>IF(Outras!H20=0,"",Outras!H20)</f>
        <v/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67"/>
      <c r="AE90" s="167"/>
    </row>
    <row r="91" spans="1:31" x14ac:dyDescent="0.25">
      <c r="A91" s="345" t="str">
        <f>IF(Outras!A21="","",Outras!A21)</f>
        <v/>
      </c>
      <c r="B91" s="346"/>
      <c r="C91" s="346"/>
      <c r="D91" s="346"/>
      <c r="E91" s="346"/>
      <c r="F91" s="346"/>
      <c r="G91" s="346"/>
      <c r="H91" s="346"/>
      <c r="I91" s="346"/>
      <c r="J91" s="347"/>
      <c r="K91" s="322" t="str">
        <f t="shared" si="8"/>
        <v/>
      </c>
      <c r="L91" s="349"/>
      <c r="M91" s="156"/>
      <c r="N91" s="156"/>
      <c r="O91" s="165"/>
      <c r="P91" s="75" t="str">
        <f>IF(Outras!H21=0,"",Outras!H21)</f>
        <v/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67"/>
      <c r="AE91" s="167"/>
    </row>
    <row r="92" spans="1:3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67"/>
      <c r="AE92" s="167"/>
    </row>
    <row r="93" spans="1:31" x14ac:dyDescent="0.25">
      <c r="A93" s="34"/>
      <c r="B93" s="34"/>
      <c r="C93" s="34"/>
      <c r="D93" s="34"/>
      <c r="E93" s="34"/>
      <c r="F93" s="34"/>
      <c r="G93" s="34"/>
      <c r="H93" s="335">
        <f ca="1">TODAY()</f>
        <v>45953</v>
      </c>
      <c r="I93" s="335"/>
      <c r="J93" s="335"/>
      <c r="K93" s="34"/>
      <c r="L93" s="34"/>
      <c r="M93" s="34"/>
      <c r="N93" s="34"/>
      <c r="O93" s="57" t="s">
        <v>206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67"/>
      <c r="AE93" s="167"/>
    </row>
    <row r="94" spans="1:3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67"/>
      <c r="AE94" s="167"/>
    </row>
    <row r="95" spans="1:31" ht="15.75" x14ac:dyDescent="0.25">
      <c r="A95" s="157" t="s">
        <v>195</v>
      </c>
      <c r="B95" s="34"/>
      <c r="C95" s="34"/>
      <c r="D95" s="157" t="str">
        <f>'Projetos de Ensino'!C8</f>
        <v>1 h 0 min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67"/>
      <c r="AE95" s="167"/>
    </row>
    <row r="96" spans="1:31" ht="7.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67"/>
      <c r="AE96" s="167"/>
    </row>
    <row r="97" spans="1:31" x14ac:dyDescent="0.25">
      <c r="A97" s="336" t="s">
        <v>77</v>
      </c>
      <c r="B97" s="337"/>
      <c r="C97" s="337"/>
      <c r="D97" s="337"/>
      <c r="E97" s="175"/>
      <c r="F97" s="175"/>
      <c r="G97" s="159"/>
      <c r="H97" s="159"/>
      <c r="I97" s="159"/>
      <c r="J97" s="159"/>
      <c r="K97" s="159"/>
      <c r="L97" s="159"/>
      <c r="M97" s="160"/>
      <c r="N97" s="279" t="s">
        <v>155</v>
      </c>
      <c r="O97" s="281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67"/>
      <c r="AE97" s="167"/>
    </row>
    <row r="98" spans="1:31" x14ac:dyDescent="0.25">
      <c r="A98" s="338" t="str">
        <f>IF('Projetos de Ensino'!A12="","",'Projetos de Ensino'!A12)</f>
        <v>Exemplo ABC</v>
      </c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24" t="str">
        <f t="shared" ref="N98" si="9">IF(P98="","",INT(P98/60) &amp; " h " &amp; P98-(INT(P98/60)*60) &amp; " min")</f>
        <v>1 h 0 min</v>
      </c>
      <c r="O98" s="325"/>
      <c r="P98" s="75">
        <f>IF('Projetos de Ensino'!F12=0,"",'Projetos de Ensino'!F12)</f>
        <v>60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67"/>
      <c r="AE98" s="167"/>
    </row>
    <row r="99" spans="1:31" x14ac:dyDescent="0.25">
      <c r="A99" s="326" t="str">
        <f>IF('Projetos de Ensino'!A13="","",'Projetos de Ensino'!A13)</f>
        <v/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4" t="str">
        <f t="shared" ref="N99:N105" si="10">IF(P99="","",INT(P99/60) &amp; " h " &amp; P99-(INT(P99/60)*60) &amp; " min")</f>
        <v/>
      </c>
      <c r="O99" s="325"/>
      <c r="P99" s="75" t="str">
        <f>IF('Projetos de Ensino'!F13=0,"",'Projetos de Ensino'!F13)</f>
        <v/>
      </c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67"/>
      <c r="AE99" s="167"/>
    </row>
    <row r="100" spans="1:31" x14ac:dyDescent="0.25">
      <c r="A100" s="326" t="str">
        <f>IF('Projetos de Ensino'!A14="","",'Projetos de Ensino'!A14)</f>
        <v/>
      </c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4" t="str">
        <f t="shared" si="10"/>
        <v/>
      </c>
      <c r="O100" s="325"/>
      <c r="P100" s="75" t="str">
        <f>IF('Projetos de Ensino'!F14=0,"",'Projetos de Ensino'!F14)</f>
        <v/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67"/>
      <c r="AE100" s="167"/>
    </row>
    <row r="101" spans="1:31" x14ac:dyDescent="0.25">
      <c r="A101" s="326" t="str">
        <f>IF('Projetos de Ensino'!A15="","",'Projetos de Ensino'!A15)</f>
        <v/>
      </c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4" t="str">
        <f t="shared" si="10"/>
        <v/>
      </c>
      <c r="O101" s="325"/>
      <c r="P101" s="75" t="str">
        <f>IF('Projetos de Ensino'!F15=0,"",'Projetos de Ensino'!F15)</f>
        <v/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67"/>
      <c r="AE101" s="167"/>
    </row>
    <row r="102" spans="1:31" x14ac:dyDescent="0.25">
      <c r="A102" s="326" t="str">
        <f>IF('Projetos de Ensino'!A16="","",'Projetos de Ensino'!A16)</f>
        <v/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4" t="str">
        <f t="shared" si="10"/>
        <v/>
      </c>
      <c r="O102" s="325"/>
      <c r="P102" s="75" t="str">
        <f>IF('Projetos de Ensino'!F16=0,"",'Projetos de Ensino'!F16)</f>
        <v/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67"/>
      <c r="AE102" s="167"/>
    </row>
    <row r="103" spans="1:31" x14ac:dyDescent="0.25">
      <c r="A103" s="326" t="str">
        <f>IF('Projetos de Ensino'!A17="","",'Projetos de Ensino'!A17)</f>
        <v/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4" t="str">
        <f t="shared" si="10"/>
        <v/>
      </c>
      <c r="O103" s="325"/>
      <c r="P103" s="75" t="str">
        <f>IF('Projetos de Ensino'!F17=0,"",'Projetos de Ensino'!F17)</f>
        <v/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67"/>
      <c r="AE103" s="167"/>
    </row>
    <row r="104" spans="1:31" x14ac:dyDescent="0.25">
      <c r="A104" s="326" t="str">
        <f>IF('Projetos de Ensino'!A18="","",'Projetos de Ensino'!A18)</f>
        <v/>
      </c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4" t="str">
        <f t="shared" si="10"/>
        <v/>
      </c>
      <c r="O104" s="325"/>
      <c r="P104" s="75" t="str">
        <f>IF('Projetos de Ensino'!F18=0,"",'Projetos de Ensino'!F18)</f>
        <v/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67"/>
      <c r="AE104" s="167"/>
    </row>
    <row r="105" spans="1:31" x14ac:dyDescent="0.25">
      <c r="A105" s="164" t="str">
        <f>IF('Projetos de Ensino'!A19="","",'Projetos de Ensino'!A19)</f>
        <v/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322" t="str">
        <f t="shared" si="10"/>
        <v/>
      </c>
      <c r="O105" s="323"/>
      <c r="P105" s="75" t="str">
        <f>IF('Projetos de Ensino'!F19=0,"",'Projetos de Ensino'!F19)</f>
        <v/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67"/>
      <c r="AE105" s="167"/>
    </row>
    <row r="106" spans="1:3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67"/>
      <c r="AE106" s="167"/>
    </row>
    <row r="107" spans="1:31" ht="15.75" x14ac:dyDescent="0.25">
      <c r="A107" s="157" t="s">
        <v>159</v>
      </c>
      <c r="B107" s="34"/>
      <c r="C107" s="34"/>
      <c r="D107" s="157" t="str">
        <f>Afastamentos!J9</f>
        <v>0 h 0 min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67"/>
      <c r="AE107" s="167"/>
    </row>
    <row r="108" spans="1:31" ht="7.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67"/>
      <c r="AE108" s="167"/>
    </row>
    <row r="109" spans="1:31" x14ac:dyDescent="0.25">
      <c r="A109" s="158" t="s">
        <v>3</v>
      </c>
      <c r="B109" s="159"/>
      <c r="C109" s="159"/>
      <c r="D109" s="159"/>
      <c r="E109" s="159"/>
      <c r="F109" s="365" t="s">
        <v>155</v>
      </c>
      <c r="G109" s="366"/>
      <c r="H109" s="159"/>
      <c r="I109" s="159"/>
      <c r="J109" s="159"/>
      <c r="K109" s="159"/>
      <c r="L109" s="159"/>
      <c r="M109" s="159"/>
      <c r="N109" s="159"/>
      <c r="O109" s="160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67"/>
      <c r="AE109" s="167"/>
    </row>
    <row r="110" spans="1:31" x14ac:dyDescent="0.25">
      <c r="A110" s="110" t="str">
        <f>IF(Afastamentos!A13="","",Afastamentos!A13)</f>
        <v/>
      </c>
      <c r="B110" s="34"/>
      <c r="C110" s="34"/>
      <c r="D110" s="34"/>
      <c r="E110" s="34"/>
      <c r="F110" s="324" t="str">
        <f>IF(P110="","",INT(P110/60) &amp; " h " &amp; P110-(INT(P110/60)*60) &amp; " min")</f>
        <v/>
      </c>
      <c r="G110" s="348"/>
      <c r="H110" s="34"/>
      <c r="I110" s="34"/>
      <c r="J110" s="34"/>
      <c r="K110" s="34"/>
      <c r="L110" s="34"/>
      <c r="M110" s="34"/>
      <c r="N110" s="34"/>
      <c r="O110" s="163"/>
      <c r="P110" s="75" t="str">
        <f>IF(Afastamentos!I13=0,"",Afastamentos!I13)</f>
        <v/>
      </c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67"/>
      <c r="AE110" s="167"/>
    </row>
    <row r="111" spans="1:31" x14ac:dyDescent="0.25">
      <c r="A111" s="110" t="str">
        <f>IF(Afastamentos!A14="","",Afastamentos!A14)</f>
        <v/>
      </c>
      <c r="B111" s="34"/>
      <c r="C111" s="34"/>
      <c r="D111" s="34"/>
      <c r="E111" s="34"/>
      <c r="F111" s="324" t="str">
        <f>IF(P111="","",INT(P111/60) &amp; " h " &amp; P111-(INT(P111/60)*60) &amp; " min")</f>
        <v/>
      </c>
      <c r="G111" s="348"/>
      <c r="H111" s="34"/>
      <c r="I111" s="34"/>
      <c r="J111" s="34"/>
      <c r="K111" s="34"/>
      <c r="L111" s="34"/>
      <c r="M111" s="34"/>
      <c r="N111" s="34"/>
      <c r="O111" s="163"/>
      <c r="P111" s="75" t="str">
        <f>IF(Afastamentos!I14=0,"",Afastamentos!I14)</f>
        <v/>
      </c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67"/>
      <c r="AE111" s="167"/>
    </row>
    <row r="112" spans="1:31" x14ac:dyDescent="0.25">
      <c r="A112" s="164" t="str">
        <f>IF(Afastamentos!A15="","",Afastamentos!A15)</f>
        <v/>
      </c>
      <c r="B112" s="156"/>
      <c r="C112" s="156"/>
      <c r="D112" s="156"/>
      <c r="E112" s="156"/>
      <c r="F112" s="322" t="str">
        <f>IF(P112="","",INT(P112/60) &amp; " h " &amp; P112-(INT(P112/60)*60) &amp; " min")</f>
        <v/>
      </c>
      <c r="G112" s="349"/>
      <c r="H112" s="156"/>
      <c r="I112" s="156"/>
      <c r="J112" s="156"/>
      <c r="K112" s="156"/>
      <c r="L112" s="156"/>
      <c r="M112" s="156"/>
      <c r="N112" s="156"/>
      <c r="O112" s="165"/>
      <c r="P112" s="75" t="str">
        <f>IF(Afastamentos!I15=0,"",Afastamentos!I15)</f>
        <v/>
      </c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67"/>
      <c r="AE112" s="167"/>
    </row>
    <row r="113" spans="1:3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67"/>
      <c r="AE113" s="167"/>
    </row>
    <row r="114" spans="1:31" ht="15.75" x14ac:dyDescent="0.25">
      <c r="A114" s="157" t="s">
        <v>160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67"/>
      <c r="AE114" s="167"/>
    </row>
    <row r="115" spans="1:31" ht="7.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67"/>
      <c r="AE115" s="167"/>
    </row>
    <row r="116" spans="1:31" x14ac:dyDescent="0.25">
      <c r="A116" s="158" t="s">
        <v>77</v>
      </c>
      <c r="B116" s="159"/>
      <c r="C116" s="159"/>
      <c r="D116" s="159"/>
      <c r="E116" s="159"/>
      <c r="F116" s="159"/>
      <c r="G116" s="158" t="s">
        <v>144</v>
      </c>
      <c r="H116" s="158" t="s">
        <v>145</v>
      </c>
      <c r="I116" s="159"/>
      <c r="J116" s="159"/>
      <c r="K116" s="159"/>
      <c r="L116" s="159"/>
      <c r="M116" s="159"/>
      <c r="N116" s="159"/>
      <c r="O116" s="160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67"/>
      <c r="AE116" s="167"/>
    </row>
    <row r="117" spans="1:31" ht="15" customHeight="1" x14ac:dyDescent="0.25">
      <c r="A117" s="362" t="str">
        <f>IF(Remuneradas!A8="","",Remuneradas!A8)</f>
        <v>Plantão Hospital Veterinário</v>
      </c>
      <c r="B117" s="363"/>
      <c r="C117" s="363"/>
      <c r="D117" s="363"/>
      <c r="E117" s="363"/>
      <c r="F117" s="364"/>
      <c r="G117" s="110" t="str">
        <f>IF(Remuneradas!B8="","",Remuneradas!B8)</f>
        <v>UFU</v>
      </c>
      <c r="H117" s="362" t="str">
        <f>IF(Remuneradas!C8="","",Remuneradas!C8)</f>
        <v>Segunda-feira, 12:00-24:00</v>
      </c>
      <c r="I117" s="363"/>
      <c r="J117" s="363"/>
      <c r="K117" s="363"/>
      <c r="L117" s="363"/>
      <c r="M117" s="363"/>
      <c r="N117" s="363"/>
      <c r="O117" s="36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67"/>
      <c r="AE117" s="167"/>
    </row>
    <row r="118" spans="1:31" x14ac:dyDescent="0.25">
      <c r="A118" s="328" t="str">
        <f>IF(Remuneradas!A9="","",Remuneradas!A9)</f>
        <v/>
      </c>
      <c r="B118" s="329"/>
      <c r="C118" s="329"/>
      <c r="D118" s="329"/>
      <c r="E118" s="329"/>
      <c r="F118" s="330"/>
      <c r="G118" s="110"/>
      <c r="H118" s="328" t="str">
        <f>IF(Remuneradas!C9="","",Remuneradas!C9)</f>
        <v/>
      </c>
      <c r="I118" s="329"/>
      <c r="J118" s="329"/>
      <c r="K118" s="329"/>
      <c r="L118" s="329"/>
      <c r="M118" s="329"/>
      <c r="N118" s="329"/>
      <c r="O118" s="330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67"/>
      <c r="AE118" s="167"/>
    </row>
    <row r="119" spans="1:31" x14ac:dyDescent="0.25">
      <c r="A119" s="328" t="str">
        <f>IF(Remuneradas!A10="","",Remuneradas!A10)</f>
        <v/>
      </c>
      <c r="B119" s="329"/>
      <c r="C119" s="329"/>
      <c r="D119" s="329"/>
      <c r="E119" s="329"/>
      <c r="F119" s="330"/>
      <c r="G119" s="110"/>
      <c r="H119" s="328" t="str">
        <f>IF(Remuneradas!C10="","",Remuneradas!C10)</f>
        <v/>
      </c>
      <c r="I119" s="329"/>
      <c r="J119" s="329"/>
      <c r="K119" s="329"/>
      <c r="L119" s="329"/>
      <c r="M119" s="329"/>
      <c r="N119" s="329"/>
      <c r="O119" s="330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67"/>
      <c r="AE119" s="167"/>
    </row>
    <row r="120" spans="1:31" x14ac:dyDescent="0.25">
      <c r="A120" s="328" t="str">
        <f>IF(Remuneradas!A11="","",Remuneradas!A11)</f>
        <v/>
      </c>
      <c r="B120" s="329"/>
      <c r="C120" s="329"/>
      <c r="D120" s="329"/>
      <c r="E120" s="329"/>
      <c r="F120" s="330"/>
      <c r="G120" s="110"/>
      <c r="H120" s="328" t="str">
        <f>IF(Remuneradas!C11="","",Remuneradas!C11)</f>
        <v/>
      </c>
      <c r="I120" s="329"/>
      <c r="J120" s="329"/>
      <c r="K120" s="329"/>
      <c r="L120" s="329"/>
      <c r="M120" s="329"/>
      <c r="N120" s="329"/>
      <c r="O120" s="330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67"/>
      <c r="AE120" s="167"/>
    </row>
    <row r="121" spans="1:31" x14ac:dyDescent="0.25">
      <c r="A121" s="359" t="str">
        <f>IF(Remuneradas!A12="","",Remuneradas!A12)</f>
        <v/>
      </c>
      <c r="B121" s="360"/>
      <c r="C121" s="360"/>
      <c r="D121" s="360"/>
      <c r="E121" s="360"/>
      <c r="F121" s="361"/>
      <c r="G121" s="164"/>
      <c r="H121" s="359" t="str">
        <f>IF(Remuneradas!C12="","",Remuneradas!C12)</f>
        <v/>
      </c>
      <c r="I121" s="360"/>
      <c r="J121" s="360"/>
      <c r="K121" s="360"/>
      <c r="L121" s="360"/>
      <c r="M121" s="360"/>
      <c r="N121" s="360"/>
      <c r="O121" s="361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67"/>
      <c r="AE121" s="167"/>
    </row>
    <row r="122" spans="1:31" ht="21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67"/>
      <c r="AE122" s="167"/>
    </row>
    <row r="123" spans="1:3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67"/>
      <c r="AE123" s="167"/>
    </row>
    <row r="124" spans="1:31" x14ac:dyDescent="0.25">
      <c r="A124" s="34"/>
      <c r="B124" s="34"/>
      <c r="C124" s="34"/>
      <c r="D124" s="34"/>
      <c r="E124" s="34"/>
      <c r="F124" s="34"/>
      <c r="G124" s="34"/>
      <c r="H124" s="335">
        <f ca="1">TODAY()</f>
        <v>45953</v>
      </c>
      <c r="I124" s="335"/>
      <c r="J124" s="335"/>
      <c r="K124" s="34"/>
      <c r="L124" s="34"/>
      <c r="M124" s="34"/>
      <c r="N124" s="34"/>
      <c r="O124" s="57" t="s">
        <v>207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67"/>
      <c r="AE124" s="167"/>
    </row>
    <row r="125" spans="1:3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67"/>
      <c r="AE125" s="167"/>
    </row>
    <row r="126" spans="1:31" ht="15.75" x14ac:dyDescent="0.25">
      <c r="A126" s="157" t="s">
        <v>202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67"/>
      <c r="AE126" s="167"/>
    </row>
    <row r="127" spans="1:31" x14ac:dyDescent="0.25">
      <c r="A127" s="350">
        <f>Observações!A5</f>
        <v>0</v>
      </c>
      <c r="B127" s="351"/>
      <c r="C127" s="351"/>
      <c r="D127" s="35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2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67"/>
      <c r="AE127" s="167"/>
    </row>
    <row r="128" spans="1:31" x14ac:dyDescent="0.25">
      <c r="A128" s="353"/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5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67"/>
      <c r="AE128" s="167"/>
    </row>
    <row r="129" spans="1:31" x14ac:dyDescent="0.25">
      <c r="A129" s="353"/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5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67"/>
      <c r="AE129" s="167"/>
    </row>
    <row r="130" spans="1:31" x14ac:dyDescent="0.25">
      <c r="A130" s="353"/>
      <c r="B130" s="354"/>
      <c r="C130" s="354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5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67"/>
      <c r="AE130" s="167"/>
    </row>
    <row r="131" spans="1:31" x14ac:dyDescent="0.25">
      <c r="A131" s="353"/>
      <c r="B131" s="354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5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67"/>
      <c r="AE131" s="167"/>
    </row>
    <row r="132" spans="1:31" x14ac:dyDescent="0.25">
      <c r="A132" s="353"/>
      <c r="B132" s="354"/>
      <c r="C132" s="354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5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167"/>
      <c r="AE132" s="167"/>
    </row>
    <row r="133" spans="1:31" x14ac:dyDescent="0.25">
      <c r="A133" s="353"/>
      <c r="B133" s="354"/>
      <c r="C133" s="354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5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167"/>
      <c r="AE133" s="167"/>
    </row>
    <row r="134" spans="1:31" x14ac:dyDescent="0.25">
      <c r="A134" s="353"/>
      <c r="B134" s="354"/>
      <c r="C134" s="354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5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167"/>
      <c r="AE134" s="167"/>
    </row>
    <row r="135" spans="1:31" x14ac:dyDescent="0.25">
      <c r="A135" s="353"/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5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167"/>
      <c r="AE135" s="167"/>
    </row>
    <row r="136" spans="1:31" x14ac:dyDescent="0.25">
      <c r="A136" s="356"/>
      <c r="B136" s="357"/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8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167"/>
      <c r="AE136" s="167"/>
    </row>
    <row r="137" spans="1:3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167"/>
      <c r="AE137" s="167"/>
    </row>
    <row r="138" spans="1:3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167"/>
      <c r="AE138" s="167"/>
    </row>
    <row r="139" spans="1:3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167"/>
      <c r="AE139" s="167"/>
    </row>
    <row r="140" spans="1:3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167"/>
      <c r="AE140" s="167"/>
    </row>
    <row r="141" spans="1:3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167"/>
      <c r="AE141" s="167"/>
    </row>
    <row r="142" spans="1:3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167"/>
      <c r="AE142" s="167"/>
    </row>
    <row r="143" spans="1:3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167"/>
      <c r="AE143" s="167"/>
    </row>
    <row r="144" spans="1:3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167"/>
      <c r="AE144" s="167"/>
    </row>
    <row r="145" spans="1:3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167"/>
      <c r="AE145" s="167"/>
    </row>
    <row r="146" spans="1:3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167"/>
      <c r="AE146" s="167"/>
    </row>
    <row r="147" spans="1:3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167"/>
      <c r="AE147" s="167"/>
    </row>
    <row r="148" spans="1:3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167"/>
      <c r="AE148" s="167"/>
    </row>
    <row r="149" spans="1:3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167"/>
      <c r="AE149" s="167"/>
    </row>
    <row r="150" spans="1:31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167"/>
      <c r="AE150" s="167"/>
    </row>
    <row r="151" spans="1:31" x14ac:dyDescent="0.25">
      <c r="A151" s="34"/>
      <c r="B151" s="34"/>
      <c r="C151" s="34"/>
      <c r="D151" s="34"/>
      <c r="E151" s="34"/>
      <c r="F151" s="34"/>
      <c r="G151" s="34"/>
      <c r="H151" s="335">
        <f ca="1">TODAY()</f>
        <v>45953</v>
      </c>
      <c r="I151" s="335"/>
      <c r="J151" s="335"/>
      <c r="K151" s="34"/>
      <c r="L151" s="34"/>
      <c r="M151" s="34"/>
      <c r="N151" s="34"/>
      <c r="O151" s="57" t="s">
        <v>208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167"/>
      <c r="AE151" s="167"/>
    </row>
    <row r="152" spans="1:3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167"/>
      <c r="AE152" s="167"/>
    </row>
    <row r="153" spans="1:3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167"/>
      <c r="AE153" s="167"/>
    </row>
    <row r="154" spans="1:3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167"/>
      <c r="AE154" s="167"/>
    </row>
    <row r="155" spans="1:3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167"/>
      <c r="AE155" s="167"/>
    </row>
    <row r="156" spans="1:3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167"/>
      <c r="AE156" s="167"/>
    </row>
    <row r="157" spans="1:3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167"/>
      <c r="AE157" s="167"/>
    </row>
    <row r="158" spans="1:3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167"/>
      <c r="AE158" s="167"/>
    </row>
    <row r="159" spans="1:3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167"/>
      <c r="AE159" s="167"/>
    </row>
    <row r="160" spans="1:3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167"/>
      <c r="AE160" s="167"/>
    </row>
    <row r="161" spans="1:3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167"/>
      <c r="AE161" s="167"/>
    </row>
    <row r="162" spans="1:3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167"/>
      <c r="AE162" s="167"/>
    </row>
    <row r="163" spans="1:3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167"/>
      <c r="AE163" s="167"/>
    </row>
    <row r="164" spans="1:3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167"/>
      <c r="AE164" s="167"/>
    </row>
    <row r="165" spans="1:3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167"/>
      <c r="AE165" s="167"/>
    </row>
    <row r="166" spans="1:3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167"/>
      <c r="AE166" s="167"/>
    </row>
    <row r="167" spans="1:3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167"/>
      <c r="AE167" s="167"/>
    </row>
    <row r="168" spans="1:3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167"/>
      <c r="AE168" s="167"/>
    </row>
    <row r="169" spans="1:3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167"/>
      <c r="AE169" s="167"/>
    </row>
    <row r="170" spans="1:3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167"/>
      <c r="AE170" s="167"/>
    </row>
    <row r="171" spans="1:3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167"/>
      <c r="AE171" s="167"/>
    </row>
    <row r="172" spans="1:3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167"/>
      <c r="AE172" s="167"/>
    </row>
    <row r="173" spans="1:3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167"/>
      <c r="AE173" s="167"/>
    </row>
    <row r="174" spans="1:3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167"/>
      <c r="AE174" s="167"/>
    </row>
    <row r="175" spans="1:3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167"/>
      <c r="AE175" s="167"/>
    </row>
    <row r="176" spans="1:3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167"/>
      <c r="AE176" s="167"/>
    </row>
    <row r="177" spans="1:3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167"/>
      <c r="AE177" s="167"/>
    </row>
    <row r="178" spans="1:3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167"/>
      <c r="AE178" s="167"/>
    </row>
    <row r="179" spans="1:3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167"/>
      <c r="AE179" s="167"/>
    </row>
    <row r="180" spans="1:3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167"/>
      <c r="AE180" s="167"/>
    </row>
    <row r="181" spans="1:3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167"/>
      <c r="AE181" s="167"/>
    </row>
    <row r="182" spans="1:3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167"/>
      <c r="AE182" s="167"/>
    </row>
    <row r="183" spans="1:3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167"/>
      <c r="AE183" s="167"/>
    </row>
    <row r="184" spans="1:3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167"/>
      <c r="AE184" s="167"/>
    </row>
    <row r="185" spans="1:3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167"/>
      <c r="AE185" s="167"/>
    </row>
    <row r="186" spans="1:3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167"/>
      <c r="AE186" s="167"/>
    </row>
    <row r="187" spans="1:3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167"/>
      <c r="AE187" s="167"/>
    </row>
    <row r="188" spans="1:3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167"/>
      <c r="AE188" s="167"/>
    </row>
    <row r="189" spans="1:3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167"/>
      <c r="AE189" s="167"/>
    </row>
    <row r="190" spans="1:3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167"/>
      <c r="AE190" s="167"/>
    </row>
    <row r="191" spans="1:3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167"/>
      <c r="AE191" s="167"/>
    </row>
    <row r="192" spans="1:3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167"/>
      <c r="AE192" s="167"/>
    </row>
    <row r="193" spans="1:3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167"/>
      <c r="AE193" s="167"/>
    </row>
    <row r="194" spans="1:3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167"/>
      <c r="AE194" s="167"/>
    </row>
    <row r="195" spans="1:3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167"/>
      <c r="AE195" s="167"/>
    </row>
    <row r="196" spans="1:3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167"/>
      <c r="AE196" s="167"/>
    </row>
    <row r="197" spans="1:3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167"/>
      <c r="AE197" s="167"/>
    </row>
    <row r="198" spans="1:3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167"/>
      <c r="AE198" s="167"/>
    </row>
    <row r="199" spans="1:3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167"/>
      <c r="AE199" s="167"/>
    </row>
    <row r="200" spans="1:3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167"/>
      <c r="AE200" s="167"/>
    </row>
    <row r="201" spans="1:3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167"/>
      <c r="AE201" s="167"/>
    </row>
    <row r="202" spans="1:3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167"/>
      <c r="AE202" s="167"/>
    </row>
    <row r="203" spans="1:3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167"/>
      <c r="AE203" s="167"/>
    </row>
    <row r="204" spans="1:3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167"/>
      <c r="AE204" s="167"/>
    </row>
    <row r="205" spans="1:3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167"/>
      <c r="AE205" s="167"/>
    </row>
    <row r="206" spans="1:3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167"/>
      <c r="AE206" s="167"/>
    </row>
    <row r="207" spans="1:3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167"/>
      <c r="AE207" s="167"/>
    </row>
    <row r="208" spans="1:3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167"/>
      <c r="AE208" s="167"/>
    </row>
    <row r="209" spans="1:3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167"/>
      <c r="AE209" s="167"/>
    </row>
    <row r="210" spans="1:3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167"/>
      <c r="AE210" s="167"/>
    </row>
    <row r="211" spans="1:3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167"/>
      <c r="AE211" s="167"/>
    </row>
    <row r="212" spans="1:3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167"/>
      <c r="AE212" s="167"/>
    </row>
    <row r="213" spans="1:3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167"/>
      <c r="AE213" s="167"/>
    </row>
    <row r="214" spans="1:3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167"/>
      <c r="AE214" s="167"/>
    </row>
    <row r="215" spans="1:3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167"/>
      <c r="AE215" s="167"/>
    </row>
    <row r="216" spans="1:3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167"/>
      <c r="AE216" s="167"/>
    </row>
    <row r="217" spans="1:3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167"/>
      <c r="AE217" s="167"/>
    </row>
    <row r="218" spans="1:3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167"/>
      <c r="AE218" s="167"/>
    </row>
    <row r="219" spans="1:3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167"/>
      <c r="AE219" s="167"/>
    </row>
    <row r="220" spans="1:3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167"/>
      <c r="AE220" s="167"/>
    </row>
    <row r="221" spans="1:3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167"/>
      <c r="AE221" s="167"/>
    </row>
    <row r="222" spans="1:3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167"/>
      <c r="AE222" s="167"/>
    </row>
    <row r="223" spans="1:3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167"/>
      <c r="AE223" s="167"/>
    </row>
    <row r="224" spans="1:3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167"/>
      <c r="AE224" s="167"/>
    </row>
    <row r="225" spans="1:3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167"/>
      <c r="AE225" s="167"/>
    </row>
    <row r="226" spans="1:3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167"/>
      <c r="AE226" s="167"/>
    </row>
    <row r="227" spans="1:3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167"/>
      <c r="AE227" s="167"/>
    </row>
    <row r="228" spans="1:3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167"/>
      <c r="AE228" s="167"/>
    </row>
    <row r="229" spans="1:3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167"/>
      <c r="AE229" s="167"/>
    </row>
    <row r="230" spans="1:3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167"/>
      <c r="AE230" s="167"/>
    </row>
    <row r="231" spans="1:3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167"/>
      <c r="AE231" s="167"/>
    </row>
    <row r="232" spans="1:3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167"/>
      <c r="AE232" s="167"/>
    </row>
    <row r="233" spans="1:3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167"/>
      <c r="AE233" s="167"/>
    </row>
    <row r="234" spans="1:3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167"/>
      <c r="AE234" s="167"/>
    </row>
    <row r="235" spans="1:3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167"/>
      <c r="AE235" s="167"/>
    </row>
    <row r="236" spans="1:3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167"/>
      <c r="AE236" s="167"/>
    </row>
    <row r="237" spans="1:3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167"/>
      <c r="AE237" s="167"/>
    </row>
    <row r="238" spans="1:3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167"/>
      <c r="AE238" s="167"/>
    </row>
    <row r="239" spans="1:3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167"/>
      <c r="AE239" s="167"/>
    </row>
    <row r="240" spans="1:3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</row>
    <row r="241" spans="1:3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</row>
    <row r="242" spans="1:3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</row>
    <row r="243" spans="1:3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</row>
    <row r="244" spans="1:3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</row>
    <row r="245" spans="1:3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</row>
    <row r="246" spans="1:3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</row>
    <row r="247" spans="1:31" x14ac:dyDescent="0.25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</row>
    <row r="248" spans="1:31" x14ac:dyDescent="0.25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</row>
    <row r="249" spans="1:31" x14ac:dyDescent="0.25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</row>
    <row r="250" spans="1:31" x14ac:dyDescent="0.25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</row>
    <row r="251" spans="1:31" x14ac:dyDescent="0.25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</row>
    <row r="252" spans="1:31" x14ac:dyDescent="0.25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</row>
    <row r="253" spans="1:31" x14ac:dyDescent="0.25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</row>
    <row r="254" spans="1:31" x14ac:dyDescent="0.25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</row>
    <row r="255" spans="1:31" x14ac:dyDescent="0.25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</row>
    <row r="256" spans="1:31" x14ac:dyDescent="0.25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</row>
    <row r="257" spans="1:31" x14ac:dyDescent="0.25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</row>
    <row r="258" spans="1:31" x14ac:dyDescent="0.25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</row>
    <row r="259" spans="1:31" x14ac:dyDescent="0.25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</row>
    <row r="260" spans="1:31" x14ac:dyDescent="0.25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</row>
    <row r="261" spans="1:31" x14ac:dyDescent="0.25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</row>
    <row r="262" spans="1:31" x14ac:dyDescent="0.25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</row>
    <row r="263" spans="1:31" x14ac:dyDescent="0.25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</row>
    <row r="264" spans="1:31" x14ac:dyDescent="0.25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</row>
    <row r="265" spans="1:31" x14ac:dyDescent="0.25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</row>
    <row r="266" spans="1:31" x14ac:dyDescent="0.25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</row>
    <row r="267" spans="1:31" x14ac:dyDescent="0.25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</row>
    <row r="268" spans="1:31" x14ac:dyDescent="0.25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</row>
    <row r="269" spans="1:31" x14ac:dyDescent="0.25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</row>
    <row r="270" spans="1:31" x14ac:dyDescent="0.25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</row>
    <row r="271" spans="1:31" x14ac:dyDescent="0.25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</row>
    <row r="272" spans="1:31" x14ac:dyDescent="0.25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</row>
    <row r="273" spans="1:31" x14ac:dyDescent="0.25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</row>
    <row r="274" spans="1:31" x14ac:dyDescent="0.25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</row>
    <row r="275" spans="1:31" x14ac:dyDescent="0.25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</row>
    <row r="276" spans="1:31" x14ac:dyDescent="0.25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</row>
    <row r="277" spans="1:31" x14ac:dyDescent="0.25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</row>
    <row r="278" spans="1:31" x14ac:dyDescent="0.25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</row>
    <row r="279" spans="1:31" x14ac:dyDescent="0.25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</row>
    <row r="280" spans="1:31" x14ac:dyDescent="0.25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</row>
    <row r="281" spans="1:31" x14ac:dyDescent="0.25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</row>
    <row r="282" spans="1:31" x14ac:dyDescent="0.25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</row>
    <row r="283" spans="1:31" x14ac:dyDescent="0.25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</row>
    <row r="284" spans="1:31" x14ac:dyDescent="0.25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</row>
    <row r="285" spans="1:31" x14ac:dyDescent="0.25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</row>
    <row r="286" spans="1:31" x14ac:dyDescent="0.25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</row>
    <row r="287" spans="1:31" x14ac:dyDescent="0.25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</row>
    <row r="288" spans="1:31" x14ac:dyDescent="0.25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</row>
    <row r="289" spans="1:31" x14ac:dyDescent="0.25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</row>
    <row r="290" spans="1:31" x14ac:dyDescent="0.25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</row>
    <row r="291" spans="1:31" x14ac:dyDescent="0.25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</row>
    <row r="292" spans="1:31" x14ac:dyDescent="0.25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</row>
    <row r="293" spans="1:31" x14ac:dyDescent="0.25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</row>
    <row r="294" spans="1:31" x14ac:dyDescent="0.25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</row>
    <row r="295" spans="1:31" x14ac:dyDescent="0.25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</row>
    <row r="296" spans="1:31" x14ac:dyDescent="0.25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</row>
    <row r="297" spans="1:31" x14ac:dyDescent="0.25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</row>
    <row r="298" spans="1:31" x14ac:dyDescent="0.25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</row>
    <row r="299" spans="1:31" x14ac:dyDescent="0.25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</row>
    <row r="300" spans="1:31" x14ac:dyDescent="0.25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</row>
    <row r="301" spans="1:31" x14ac:dyDescent="0.25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</row>
    <row r="302" spans="1:31" x14ac:dyDescent="0.25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</row>
    <row r="303" spans="1:31" x14ac:dyDescent="0.25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</row>
    <row r="304" spans="1:31" x14ac:dyDescent="0.25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</row>
    <row r="305" spans="1:31" x14ac:dyDescent="0.25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</row>
    <row r="306" spans="1:31" x14ac:dyDescent="0.25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</row>
    <row r="307" spans="1:31" x14ac:dyDescent="0.25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</row>
    <row r="308" spans="1:31" x14ac:dyDescent="0.25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</row>
    <row r="309" spans="1:31" x14ac:dyDescent="0.25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</row>
    <row r="310" spans="1:31" x14ac:dyDescent="0.25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</row>
    <row r="311" spans="1:31" x14ac:dyDescent="0.25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</row>
    <row r="312" spans="1:31" x14ac:dyDescent="0.25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</row>
    <row r="313" spans="1:31" x14ac:dyDescent="0.25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</row>
    <row r="314" spans="1:31" x14ac:dyDescent="0.25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</row>
    <row r="315" spans="1:31" x14ac:dyDescent="0.25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</row>
    <row r="316" spans="1:31" x14ac:dyDescent="0.25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</row>
    <row r="317" spans="1:31" x14ac:dyDescent="0.25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</row>
    <row r="318" spans="1:31" x14ac:dyDescent="0.25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</row>
    <row r="319" spans="1:31" x14ac:dyDescent="0.25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</row>
    <row r="320" spans="1:31" x14ac:dyDescent="0.25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</row>
    <row r="321" spans="1:31" x14ac:dyDescent="0.25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</row>
    <row r="322" spans="1:31" x14ac:dyDescent="0.25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</row>
    <row r="323" spans="1:31" x14ac:dyDescent="0.25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</row>
    <row r="324" spans="1:31" x14ac:dyDescent="0.25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</row>
    <row r="325" spans="1:31" x14ac:dyDescent="0.25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</row>
    <row r="326" spans="1:31" x14ac:dyDescent="0.25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</row>
    <row r="327" spans="1:31" x14ac:dyDescent="0.25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</row>
    <row r="328" spans="1:31" x14ac:dyDescent="0.25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</row>
    <row r="329" spans="1:31" x14ac:dyDescent="0.25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</row>
    <row r="330" spans="1:31" x14ac:dyDescent="0.25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</row>
    <row r="331" spans="1:31" x14ac:dyDescent="0.25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</row>
    <row r="332" spans="1:31" x14ac:dyDescent="0.25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</row>
    <row r="333" spans="1:31" x14ac:dyDescent="0.25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</row>
    <row r="334" spans="1:31" x14ac:dyDescent="0.25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</row>
    <row r="335" spans="1:31" x14ac:dyDescent="0.25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</row>
    <row r="336" spans="1:31" x14ac:dyDescent="0.25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</row>
    <row r="337" spans="1:31" x14ac:dyDescent="0.25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</row>
    <row r="338" spans="1:31" x14ac:dyDescent="0.25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</row>
    <row r="339" spans="1:31" x14ac:dyDescent="0.25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</row>
    <row r="340" spans="1:31" x14ac:dyDescent="0.25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</row>
    <row r="341" spans="1:31" x14ac:dyDescent="0.25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</row>
    <row r="342" spans="1:31" x14ac:dyDescent="0.25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</row>
    <row r="343" spans="1:31" x14ac:dyDescent="0.25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</row>
    <row r="344" spans="1:31" x14ac:dyDescent="0.25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</row>
    <row r="345" spans="1:31" x14ac:dyDescent="0.25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</row>
    <row r="346" spans="1:31" x14ac:dyDescent="0.25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</row>
    <row r="347" spans="1:31" x14ac:dyDescent="0.25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</row>
    <row r="348" spans="1:31" x14ac:dyDescent="0.25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</row>
    <row r="349" spans="1:31" x14ac:dyDescent="0.25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</row>
    <row r="350" spans="1:31" x14ac:dyDescent="0.25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</row>
    <row r="351" spans="1:31" x14ac:dyDescent="0.25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</row>
    <row r="352" spans="1:31" x14ac:dyDescent="0.25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</row>
    <row r="353" spans="1:31" x14ac:dyDescent="0.25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</row>
    <row r="354" spans="1:31" x14ac:dyDescent="0.25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</row>
    <row r="355" spans="1:31" x14ac:dyDescent="0.25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</row>
    <row r="356" spans="1:31" x14ac:dyDescent="0.25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</row>
    <row r="357" spans="1:31" x14ac:dyDescent="0.25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</row>
    <row r="358" spans="1:31" x14ac:dyDescent="0.25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</row>
    <row r="359" spans="1:31" x14ac:dyDescent="0.25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</row>
    <row r="360" spans="1:31" x14ac:dyDescent="0.25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</row>
    <row r="361" spans="1:31" x14ac:dyDescent="0.25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</row>
    <row r="362" spans="1:31" x14ac:dyDescent="0.25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</row>
    <row r="363" spans="1:31" x14ac:dyDescent="0.25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</row>
    <row r="364" spans="1:31" x14ac:dyDescent="0.25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</row>
    <row r="365" spans="1:31" x14ac:dyDescent="0.25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</row>
    <row r="366" spans="1:31" x14ac:dyDescent="0.25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</row>
    <row r="367" spans="1:31" x14ac:dyDescent="0.25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</row>
    <row r="368" spans="1:31" x14ac:dyDescent="0.25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</row>
    <row r="369" spans="1:31" x14ac:dyDescent="0.25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</row>
    <row r="370" spans="1:31" x14ac:dyDescent="0.25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</row>
    <row r="371" spans="1:31" x14ac:dyDescent="0.25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</row>
    <row r="372" spans="1:31" x14ac:dyDescent="0.25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</row>
    <row r="373" spans="1:31" x14ac:dyDescent="0.25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</row>
    <row r="374" spans="1:31" x14ac:dyDescent="0.25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</row>
    <row r="375" spans="1:31" x14ac:dyDescent="0.25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</row>
    <row r="376" spans="1:31" x14ac:dyDescent="0.25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</row>
    <row r="377" spans="1:31" x14ac:dyDescent="0.25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</row>
    <row r="378" spans="1:31" x14ac:dyDescent="0.25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</row>
    <row r="379" spans="1:31" x14ac:dyDescent="0.25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</row>
    <row r="380" spans="1:31" x14ac:dyDescent="0.25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</row>
    <row r="381" spans="1:31" x14ac:dyDescent="0.25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</row>
    <row r="382" spans="1:31" x14ac:dyDescent="0.25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</row>
    <row r="383" spans="1:31" x14ac:dyDescent="0.25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</row>
    <row r="384" spans="1:31" x14ac:dyDescent="0.25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</row>
    <row r="385" spans="1:31" x14ac:dyDescent="0.25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</row>
    <row r="386" spans="1:31" x14ac:dyDescent="0.25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</row>
    <row r="387" spans="1:31" x14ac:dyDescent="0.25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</row>
    <row r="388" spans="1:31" x14ac:dyDescent="0.25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</row>
    <row r="389" spans="1:31" x14ac:dyDescent="0.25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</row>
    <row r="390" spans="1:31" x14ac:dyDescent="0.25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</row>
    <row r="391" spans="1:31" x14ac:dyDescent="0.25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</row>
    <row r="392" spans="1:31" x14ac:dyDescent="0.25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</row>
    <row r="393" spans="1:31" x14ac:dyDescent="0.25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</row>
    <row r="394" spans="1:31" x14ac:dyDescent="0.25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</row>
    <row r="395" spans="1:31" x14ac:dyDescent="0.25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</row>
    <row r="396" spans="1:31" x14ac:dyDescent="0.25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</row>
    <row r="397" spans="1:31" x14ac:dyDescent="0.25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</row>
    <row r="398" spans="1:31" x14ac:dyDescent="0.25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</row>
    <row r="399" spans="1:31" x14ac:dyDescent="0.25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</row>
    <row r="400" spans="1:31" x14ac:dyDescent="0.25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</row>
    <row r="401" spans="1:31" x14ac:dyDescent="0.25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</row>
    <row r="402" spans="1:31" x14ac:dyDescent="0.25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</row>
    <row r="403" spans="1:31" x14ac:dyDescent="0.25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</row>
    <row r="404" spans="1:31" x14ac:dyDescent="0.25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</row>
    <row r="405" spans="1:31" x14ac:dyDescent="0.25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</row>
    <row r="406" spans="1:31" x14ac:dyDescent="0.25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</row>
    <row r="407" spans="1:31" x14ac:dyDescent="0.25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</row>
    <row r="408" spans="1:31" x14ac:dyDescent="0.25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</row>
    <row r="409" spans="1:31" x14ac:dyDescent="0.25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</row>
    <row r="410" spans="1:31" x14ac:dyDescent="0.25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</row>
    <row r="411" spans="1:31" x14ac:dyDescent="0.25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</row>
    <row r="412" spans="1:31" x14ac:dyDescent="0.25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</row>
    <row r="413" spans="1:31" x14ac:dyDescent="0.25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</row>
    <row r="414" spans="1:31" x14ac:dyDescent="0.25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</row>
    <row r="415" spans="1:31" x14ac:dyDescent="0.25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</row>
    <row r="416" spans="1:31" x14ac:dyDescent="0.25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</row>
    <row r="417" spans="1:31" x14ac:dyDescent="0.25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</row>
    <row r="418" spans="1:31" x14ac:dyDescent="0.25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</row>
    <row r="419" spans="1:31" x14ac:dyDescent="0.25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</row>
    <row r="420" spans="1:31" x14ac:dyDescent="0.25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</row>
    <row r="421" spans="1:31" x14ac:dyDescent="0.25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</row>
    <row r="422" spans="1:31" x14ac:dyDescent="0.25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</row>
    <row r="423" spans="1:31" x14ac:dyDescent="0.25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</row>
    <row r="424" spans="1:31" x14ac:dyDescent="0.25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</row>
    <row r="425" spans="1:31" x14ac:dyDescent="0.25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</row>
    <row r="426" spans="1:31" x14ac:dyDescent="0.25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</row>
    <row r="427" spans="1:31" x14ac:dyDescent="0.25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</row>
    <row r="428" spans="1:31" x14ac:dyDescent="0.25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</row>
    <row r="429" spans="1:31" x14ac:dyDescent="0.25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</row>
    <row r="430" spans="1:31" x14ac:dyDescent="0.25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</row>
    <row r="431" spans="1:31" x14ac:dyDescent="0.25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</row>
    <row r="432" spans="1:31" x14ac:dyDescent="0.25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</row>
    <row r="433" spans="1:31" x14ac:dyDescent="0.25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</row>
    <row r="434" spans="1:31" x14ac:dyDescent="0.25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</row>
    <row r="435" spans="1:31" x14ac:dyDescent="0.25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</row>
    <row r="436" spans="1:31" x14ac:dyDescent="0.25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</row>
    <row r="437" spans="1:31" x14ac:dyDescent="0.25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</row>
    <row r="438" spans="1:31" x14ac:dyDescent="0.25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</row>
    <row r="439" spans="1:31" x14ac:dyDescent="0.25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</row>
    <row r="440" spans="1:31" x14ac:dyDescent="0.25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</row>
    <row r="441" spans="1:31" x14ac:dyDescent="0.25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</row>
    <row r="442" spans="1:31" x14ac:dyDescent="0.25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</row>
    <row r="443" spans="1:31" x14ac:dyDescent="0.25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</row>
    <row r="444" spans="1:31" x14ac:dyDescent="0.25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</row>
    <row r="445" spans="1:31" x14ac:dyDescent="0.25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</row>
    <row r="446" spans="1:31" x14ac:dyDescent="0.25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</row>
    <row r="447" spans="1:31" x14ac:dyDescent="0.25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</row>
    <row r="448" spans="1:31" x14ac:dyDescent="0.25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</row>
    <row r="449" spans="1:31" x14ac:dyDescent="0.25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</row>
    <row r="450" spans="1:31" x14ac:dyDescent="0.25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</row>
    <row r="451" spans="1:31" x14ac:dyDescent="0.25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</row>
    <row r="452" spans="1:31" x14ac:dyDescent="0.25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</row>
    <row r="453" spans="1:31" x14ac:dyDescent="0.25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</row>
    <row r="454" spans="1:31" x14ac:dyDescent="0.25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</row>
    <row r="455" spans="1:31" x14ac:dyDescent="0.25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</row>
    <row r="456" spans="1:31" x14ac:dyDescent="0.25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</row>
    <row r="457" spans="1:31" x14ac:dyDescent="0.25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</row>
    <row r="458" spans="1:31" x14ac:dyDescent="0.25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</row>
    <row r="459" spans="1:31" x14ac:dyDescent="0.25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</row>
    <row r="460" spans="1:31" x14ac:dyDescent="0.25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</row>
    <row r="461" spans="1:31" x14ac:dyDescent="0.25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</row>
    <row r="462" spans="1:31" x14ac:dyDescent="0.25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</row>
    <row r="463" spans="1:31" x14ac:dyDescent="0.25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</row>
    <row r="464" spans="1:31" x14ac:dyDescent="0.25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</row>
    <row r="465" spans="1:31" x14ac:dyDescent="0.25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</row>
    <row r="466" spans="1:31" x14ac:dyDescent="0.25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</row>
    <row r="467" spans="1:31" x14ac:dyDescent="0.25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</row>
    <row r="468" spans="1:31" x14ac:dyDescent="0.25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</row>
    <row r="469" spans="1:31" x14ac:dyDescent="0.25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</row>
    <row r="470" spans="1:31" x14ac:dyDescent="0.25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</row>
    <row r="471" spans="1:31" x14ac:dyDescent="0.25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</row>
    <row r="472" spans="1:31" x14ac:dyDescent="0.25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</row>
    <row r="473" spans="1:31" x14ac:dyDescent="0.25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</row>
    <row r="474" spans="1:31" x14ac:dyDescent="0.25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</row>
    <row r="475" spans="1:31" x14ac:dyDescent="0.25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</row>
    <row r="476" spans="1:31" x14ac:dyDescent="0.25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</row>
    <row r="477" spans="1:31" x14ac:dyDescent="0.25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</row>
    <row r="478" spans="1:31" x14ac:dyDescent="0.25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</row>
    <row r="479" spans="1:31" x14ac:dyDescent="0.25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</row>
    <row r="480" spans="1:31" x14ac:dyDescent="0.25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</row>
    <row r="481" spans="1:31" x14ac:dyDescent="0.25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</row>
    <row r="482" spans="1:31" x14ac:dyDescent="0.25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</row>
    <row r="483" spans="1:31" x14ac:dyDescent="0.25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</row>
    <row r="484" spans="1:31" x14ac:dyDescent="0.25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</row>
    <row r="485" spans="1:31" x14ac:dyDescent="0.25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</row>
    <row r="486" spans="1:31" x14ac:dyDescent="0.25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</row>
    <row r="487" spans="1:31" x14ac:dyDescent="0.25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</row>
    <row r="488" spans="1:31" x14ac:dyDescent="0.25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</row>
    <row r="489" spans="1:31" x14ac:dyDescent="0.25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</row>
    <row r="490" spans="1:31" x14ac:dyDescent="0.25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</row>
    <row r="491" spans="1:31" x14ac:dyDescent="0.25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</row>
    <row r="492" spans="1:31" x14ac:dyDescent="0.25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</row>
    <row r="493" spans="1:31" x14ac:dyDescent="0.25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</row>
    <row r="494" spans="1:31" x14ac:dyDescent="0.25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</row>
    <row r="495" spans="1:31" x14ac:dyDescent="0.25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</row>
    <row r="496" spans="1:31" x14ac:dyDescent="0.25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</row>
    <row r="497" spans="1:31" x14ac:dyDescent="0.25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</row>
    <row r="498" spans="1:31" x14ac:dyDescent="0.25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</row>
    <row r="499" spans="1:31" x14ac:dyDescent="0.25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</row>
    <row r="500" spans="1:31" x14ac:dyDescent="0.25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</row>
    <row r="501" spans="1:31" x14ac:dyDescent="0.25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</row>
    <row r="502" spans="1:31" x14ac:dyDescent="0.25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</row>
    <row r="503" spans="1:31" x14ac:dyDescent="0.25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</row>
    <row r="504" spans="1:31" x14ac:dyDescent="0.25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</row>
    <row r="505" spans="1:31" x14ac:dyDescent="0.25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</row>
    <row r="506" spans="1:31" x14ac:dyDescent="0.25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</row>
    <row r="507" spans="1:31" x14ac:dyDescent="0.25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</row>
    <row r="508" spans="1:31" x14ac:dyDescent="0.25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</row>
    <row r="509" spans="1:31" x14ac:dyDescent="0.25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</row>
    <row r="510" spans="1:31" x14ac:dyDescent="0.25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</row>
    <row r="511" spans="1:31" x14ac:dyDescent="0.25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</row>
    <row r="512" spans="1:31" x14ac:dyDescent="0.25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</row>
    <row r="513" spans="1:31" x14ac:dyDescent="0.25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</row>
    <row r="514" spans="1:31" x14ac:dyDescent="0.25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</row>
    <row r="515" spans="1:31" x14ac:dyDescent="0.25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</row>
    <row r="516" spans="1:31" x14ac:dyDescent="0.25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</row>
    <row r="517" spans="1:31" x14ac:dyDescent="0.25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</row>
    <row r="518" spans="1:31" x14ac:dyDescent="0.25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</row>
    <row r="519" spans="1:31" x14ac:dyDescent="0.25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</row>
    <row r="520" spans="1:31" x14ac:dyDescent="0.25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</row>
    <row r="521" spans="1:31" x14ac:dyDescent="0.25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</row>
    <row r="522" spans="1:31" x14ac:dyDescent="0.25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</row>
    <row r="523" spans="1:31" x14ac:dyDescent="0.25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</row>
    <row r="524" spans="1:31" x14ac:dyDescent="0.25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</row>
    <row r="525" spans="1:31" x14ac:dyDescent="0.25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</row>
    <row r="526" spans="1:31" x14ac:dyDescent="0.25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</row>
    <row r="527" spans="1:31" x14ac:dyDescent="0.25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</row>
    <row r="528" spans="1:31" x14ac:dyDescent="0.25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</row>
    <row r="529" spans="1:31" x14ac:dyDescent="0.25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</row>
    <row r="530" spans="1:31" x14ac:dyDescent="0.25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</row>
    <row r="531" spans="1:31" x14ac:dyDescent="0.25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</row>
    <row r="532" spans="1:31" x14ac:dyDescent="0.25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</row>
    <row r="533" spans="1:31" x14ac:dyDescent="0.25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</row>
    <row r="534" spans="1:31" x14ac:dyDescent="0.25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</row>
    <row r="535" spans="1:31" x14ac:dyDescent="0.25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</row>
    <row r="536" spans="1:31" x14ac:dyDescent="0.25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</row>
    <row r="537" spans="1:31" x14ac:dyDescent="0.25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</row>
    <row r="538" spans="1:31" x14ac:dyDescent="0.25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</row>
    <row r="539" spans="1:31" x14ac:dyDescent="0.25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</row>
    <row r="540" spans="1:31" x14ac:dyDescent="0.25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</row>
    <row r="541" spans="1:31" x14ac:dyDescent="0.25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</row>
    <row r="542" spans="1:31" x14ac:dyDescent="0.25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</row>
    <row r="543" spans="1:31" x14ac:dyDescent="0.25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</row>
    <row r="544" spans="1:31" x14ac:dyDescent="0.25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</row>
    <row r="545" spans="1:31" x14ac:dyDescent="0.25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</row>
    <row r="546" spans="1:31" x14ac:dyDescent="0.25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</row>
    <row r="547" spans="1:31" x14ac:dyDescent="0.25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</row>
    <row r="548" spans="1:31" x14ac:dyDescent="0.25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</row>
    <row r="549" spans="1:31" x14ac:dyDescent="0.25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</row>
    <row r="550" spans="1:31" x14ac:dyDescent="0.25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</row>
    <row r="551" spans="1:31" x14ac:dyDescent="0.25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</row>
    <row r="552" spans="1:31" x14ac:dyDescent="0.25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</row>
    <row r="553" spans="1:31" x14ac:dyDescent="0.25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</row>
    <row r="554" spans="1:31" x14ac:dyDescent="0.25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</row>
    <row r="555" spans="1:31" x14ac:dyDescent="0.25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</row>
    <row r="556" spans="1:31" x14ac:dyDescent="0.25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</row>
    <row r="557" spans="1:31" x14ac:dyDescent="0.25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</row>
    <row r="558" spans="1:31" x14ac:dyDescent="0.25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</row>
    <row r="559" spans="1:31" x14ac:dyDescent="0.25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  <c r="AA559" s="167"/>
      <c r="AB559" s="167"/>
      <c r="AC559" s="167"/>
      <c r="AD559" s="167"/>
      <c r="AE559" s="167"/>
    </row>
    <row r="560" spans="1:31" x14ac:dyDescent="0.25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  <c r="AC560" s="167"/>
      <c r="AD560" s="167"/>
      <c r="AE560" s="167"/>
    </row>
    <row r="561" spans="1:31" x14ac:dyDescent="0.25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</row>
    <row r="562" spans="1:31" x14ac:dyDescent="0.25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</row>
  </sheetData>
  <sheetProtection algorithmName="SHA-512" hashValue="m4XhgmZbBd2/fpppU3/Xff44arh5X2lkfCca65G2vBmsvPtr3qqYQo7j144rhzuAXwdhgbIAbhaOOBu/qNyLvw==" saltValue="uir5uf73EqWzU4YxCx5Q/g==" spinCount="100000" sheet="1" selectLockedCells="1"/>
  <mergeCells count="221">
    <mergeCell ref="A41:D41"/>
    <mergeCell ref="D32:H32"/>
    <mergeCell ref="D33:H33"/>
    <mergeCell ref="D34:H34"/>
    <mergeCell ref="D35:H35"/>
    <mergeCell ref="A46:M46"/>
    <mergeCell ref="A47:M47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E22:F22"/>
    <mergeCell ref="E23:F23"/>
    <mergeCell ref="A22:D22"/>
    <mergeCell ref="A23:D23"/>
    <mergeCell ref="D27:H27"/>
    <mergeCell ref="D28:H28"/>
    <mergeCell ref="D29:H29"/>
    <mergeCell ref="D30:H30"/>
    <mergeCell ref="D31:H31"/>
    <mergeCell ref="H23:I23"/>
    <mergeCell ref="I27:J27"/>
    <mergeCell ref="I28:J28"/>
    <mergeCell ref="I29:J29"/>
    <mergeCell ref="I30:J30"/>
    <mergeCell ref="I31:J31"/>
    <mergeCell ref="N28:O28"/>
    <mergeCell ref="N29:O29"/>
    <mergeCell ref="N30:O30"/>
    <mergeCell ref="N31:O31"/>
    <mergeCell ref="N32:O32"/>
    <mergeCell ref="N27:O27"/>
    <mergeCell ref="N33:O33"/>
    <mergeCell ref="N34:O34"/>
    <mergeCell ref="N35:O35"/>
    <mergeCell ref="N23:O23"/>
    <mergeCell ref="N14:O14"/>
    <mergeCell ref="N15:O15"/>
    <mergeCell ref="N16:O16"/>
    <mergeCell ref="N17:O17"/>
    <mergeCell ref="N18:O18"/>
    <mergeCell ref="N19:O19"/>
    <mergeCell ref="N20:O20"/>
    <mergeCell ref="H22:I22"/>
    <mergeCell ref="J22:K22"/>
    <mergeCell ref="J21:K21"/>
    <mergeCell ref="L17:M17"/>
    <mergeCell ref="H16:I16"/>
    <mergeCell ref="J16:K16"/>
    <mergeCell ref="L16:M16"/>
    <mergeCell ref="N22:O22"/>
    <mergeCell ref="J23:K23"/>
    <mergeCell ref="L23:M23"/>
    <mergeCell ref="H21:I21"/>
    <mergeCell ref="H18:I18"/>
    <mergeCell ref="J18:K18"/>
    <mergeCell ref="H17:I17"/>
    <mergeCell ref="J17:K17"/>
    <mergeCell ref="L22:M22"/>
    <mergeCell ref="C2:M2"/>
    <mergeCell ref="L21:M21"/>
    <mergeCell ref="N21:O21"/>
    <mergeCell ref="E17:F17"/>
    <mergeCell ref="E18:F18"/>
    <mergeCell ref="E19:F19"/>
    <mergeCell ref="E20:F20"/>
    <mergeCell ref="E21:F21"/>
    <mergeCell ref="H20:I20"/>
    <mergeCell ref="J20:K20"/>
    <mergeCell ref="L20:M20"/>
    <mergeCell ref="G5:H5"/>
    <mergeCell ref="A14:D14"/>
    <mergeCell ref="A15:D15"/>
    <mergeCell ref="A16:D16"/>
    <mergeCell ref="A17:D17"/>
    <mergeCell ref="A18:D18"/>
    <mergeCell ref="A19:D19"/>
    <mergeCell ref="A20:D20"/>
    <mergeCell ref="A21:D21"/>
    <mergeCell ref="E14:F14"/>
    <mergeCell ref="E15:F15"/>
    <mergeCell ref="H19:I19"/>
    <mergeCell ref="F3:J3"/>
    <mergeCell ref="A48:M48"/>
    <mergeCell ref="A49:M49"/>
    <mergeCell ref="C1:M1"/>
    <mergeCell ref="E16:F16"/>
    <mergeCell ref="E6:H6"/>
    <mergeCell ref="E8:F8"/>
    <mergeCell ref="H8:J8"/>
    <mergeCell ref="E7:H7"/>
    <mergeCell ref="H13:I13"/>
    <mergeCell ref="J13:K13"/>
    <mergeCell ref="J19:K19"/>
    <mergeCell ref="L13:M13"/>
    <mergeCell ref="H14:I14"/>
    <mergeCell ref="J14:K14"/>
    <mergeCell ref="L14:M14"/>
    <mergeCell ref="L19:M19"/>
    <mergeCell ref="L18:M18"/>
    <mergeCell ref="L8:O9"/>
    <mergeCell ref="N13:O13"/>
    <mergeCell ref="H15:I15"/>
    <mergeCell ref="J15:K15"/>
    <mergeCell ref="L15:M15"/>
    <mergeCell ref="N44:O44"/>
    <mergeCell ref="N45:O45"/>
    <mergeCell ref="N48:O48"/>
    <mergeCell ref="N49:O49"/>
    <mergeCell ref="N46:O46"/>
    <mergeCell ref="N47:O47"/>
    <mergeCell ref="N41:O41"/>
    <mergeCell ref="N42:O42"/>
    <mergeCell ref="N53:O53"/>
    <mergeCell ref="N43:O43"/>
    <mergeCell ref="N72:O72"/>
    <mergeCell ref="N54:O54"/>
    <mergeCell ref="N55:O55"/>
    <mergeCell ref="N69:O69"/>
    <mergeCell ref="N70:O70"/>
    <mergeCell ref="N71:O71"/>
    <mergeCell ref="N58:O58"/>
    <mergeCell ref="N59:O59"/>
    <mergeCell ref="N61:O61"/>
    <mergeCell ref="N56:O56"/>
    <mergeCell ref="N57:O57"/>
    <mergeCell ref="N60:O60"/>
    <mergeCell ref="D72:M72"/>
    <mergeCell ref="D73:M73"/>
    <mergeCell ref="D74:M74"/>
    <mergeCell ref="D75:M75"/>
    <mergeCell ref="D76:M76"/>
    <mergeCell ref="D77:M77"/>
    <mergeCell ref="D78:M78"/>
    <mergeCell ref="N73:O73"/>
    <mergeCell ref="N75:O75"/>
    <mergeCell ref="N74:O74"/>
    <mergeCell ref="N76:O76"/>
    <mergeCell ref="N77:O77"/>
    <mergeCell ref="N78:O78"/>
    <mergeCell ref="A55:M55"/>
    <mergeCell ref="A56:M56"/>
    <mergeCell ref="A57:M57"/>
    <mergeCell ref="A58:M58"/>
    <mergeCell ref="A59:M59"/>
    <mergeCell ref="A60:M60"/>
    <mergeCell ref="A61:M61"/>
    <mergeCell ref="D70:M70"/>
    <mergeCell ref="D71:M71"/>
    <mergeCell ref="N79:O79"/>
    <mergeCell ref="A83:D83"/>
    <mergeCell ref="A84:J84"/>
    <mergeCell ref="A85:J85"/>
    <mergeCell ref="A86:J86"/>
    <mergeCell ref="K83:L83"/>
    <mergeCell ref="K84:L84"/>
    <mergeCell ref="K85:L85"/>
    <mergeCell ref="K86:L86"/>
    <mergeCell ref="D79:M79"/>
    <mergeCell ref="A127:O136"/>
    <mergeCell ref="H151:J151"/>
    <mergeCell ref="A121:F121"/>
    <mergeCell ref="N97:O97"/>
    <mergeCell ref="A98:M98"/>
    <mergeCell ref="N98:O98"/>
    <mergeCell ref="A100:M100"/>
    <mergeCell ref="N100:O100"/>
    <mergeCell ref="A99:M99"/>
    <mergeCell ref="N99:O99"/>
    <mergeCell ref="A117:F117"/>
    <mergeCell ref="H121:O121"/>
    <mergeCell ref="H120:O120"/>
    <mergeCell ref="H119:O119"/>
    <mergeCell ref="H118:O118"/>
    <mergeCell ref="H117:O117"/>
    <mergeCell ref="F109:G109"/>
    <mergeCell ref="F110:G110"/>
    <mergeCell ref="F111:G111"/>
    <mergeCell ref="F112:G112"/>
    <mergeCell ref="A97:D97"/>
    <mergeCell ref="H124:J124"/>
    <mergeCell ref="A120:F120"/>
    <mergeCell ref="A119:F119"/>
    <mergeCell ref="A118:F118"/>
    <mergeCell ref="I32:J32"/>
    <mergeCell ref="I33:J33"/>
    <mergeCell ref="I34:J34"/>
    <mergeCell ref="I35:J35"/>
    <mergeCell ref="H93:J93"/>
    <mergeCell ref="H65:J65"/>
    <mergeCell ref="H37:J37"/>
    <mergeCell ref="A53:D53"/>
    <mergeCell ref="A42:M42"/>
    <mergeCell ref="A43:M43"/>
    <mergeCell ref="A44:M44"/>
    <mergeCell ref="A45:M45"/>
    <mergeCell ref="A54:M54"/>
    <mergeCell ref="A89:J89"/>
    <mergeCell ref="A90:J90"/>
    <mergeCell ref="A91:J91"/>
    <mergeCell ref="K89:L89"/>
    <mergeCell ref="K90:L90"/>
    <mergeCell ref="K91:L91"/>
    <mergeCell ref="A87:J87"/>
    <mergeCell ref="A88:J88"/>
    <mergeCell ref="K87:L87"/>
    <mergeCell ref="K88:L88"/>
    <mergeCell ref="N105:O105"/>
    <mergeCell ref="N101:O101"/>
    <mergeCell ref="N102:O102"/>
    <mergeCell ref="N103:O103"/>
    <mergeCell ref="N104:O104"/>
    <mergeCell ref="A101:M101"/>
    <mergeCell ref="A102:M102"/>
    <mergeCell ref="A103:M103"/>
    <mergeCell ref="A104:M104"/>
  </mergeCells>
  <pageMargins left="0.39370078740157483" right="0.39370078740157483" top="0.39370078740157483" bottom="0.31496062992125984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B7A3E-8D90-4C5E-B7F7-B370018659D0}">
            <xm:f>'Informações e Resumo'!H9&lt;VLOOKUP($E$8,Auxiliar!$E$35:$F$37,2,0)</xm:f>
            <x14:dxf>
              <font>
                <color theme="1"/>
              </font>
              <fill>
                <patternFill>
                  <bgColor rgb="FFFEEEB2"/>
                </patternFill>
              </fill>
            </x14:dxf>
          </x14:cfRule>
          <x14:cfRule type="expression" priority="2" id="{1C5020CD-8D21-4828-9A1F-92B5DCE3D383}">
            <xm:f>'Informações e Resumo'!H9&gt;VLOOKUP($E$8,Auxiliar!$E$35:$F$37,2,0)</xm:f>
            <x14:dxf>
              <font>
                <b val="0"/>
                <i val="0"/>
                <color rgb="FF860000"/>
              </font>
              <fill>
                <patternFill>
                  <bgColor theme="5" tint="0.59996337778862885"/>
                </patternFill>
              </fill>
            </x14:dxf>
          </x14:cfRule>
          <xm:sqref>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E37"/>
  <sheetViews>
    <sheetView topLeftCell="A13" zoomScaleNormal="100" workbookViewId="0">
      <selection activeCell="C17" sqref="C17"/>
    </sheetView>
  </sheetViews>
  <sheetFormatPr defaultRowHeight="15" x14ac:dyDescent="0.25"/>
  <cols>
    <col min="1" max="1" width="38.7109375" customWidth="1"/>
    <col min="2" max="2" width="30.42578125" customWidth="1"/>
    <col min="3" max="3" width="12.140625" customWidth="1"/>
    <col min="4" max="4" width="12.5703125" customWidth="1"/>
    <col min="5" max="5" width="12.140625" customWidth="1"/>
    <col min="6" max="6" width="12.5703125" customWidth="1"/>
    <col min="7" max="7" width="0.7109375" style="7" customWidth="1"/>
    <col min="8" max="8" width="13.5703125" style="7" customWidth="1"/>
    <col min="9" max="9" width="4.85546875" style="7" customWidth="1"/>
    <col min="10" max="10" width="3" style="7" customWidth="1"/>
    <col min="11" max="11" width="4.85546875" style="7" customWidth="1"/>
    <col min="12" max="12" width="4.85546875" style="7" bestFit="1" customWidth="1"/>
    <col min="13" max="14" width="0.7109375" style="7" customWidth="1"/>
    <col min="15" max="15" width="9.7109375" style="7" customWidth="1"/>
    <col min="16" max="16" width="4.85546875" style="7" customWidth="1"/>
    <col min="17" max="17" width="3" style="7" customWidth="1"/>
    <col min="18" max="18" width="4.85546875" style="7" customWidth="1"/>
    <col min="19" max="19" width="4.85546875" style="7" bestFit="1" customWidth="1"/>
    <col min="20" max="21" width="0.7109375" style="9" customWidth="1"/>
    <col min="22" max="22" width="10.85546875" style="7" customWidth="1"/>
    <col min="23" max="23" width="0.7109375" style="11" customWidth="1"/>
    <col min="24" max="24" width="14.5703125" customWidth="1"/>
    <col min="25" max="25" width="1.7109375" customWidth="1"/>
  </cols>
  <sheetData>
    <row r="1" spans="1:31" ht="15" customHeight="1" x14ac:dyDescent="0.25">
      <c r="A1" s="113" t="s">
        <v>44</v>
      </c>
      <c r="B1" s="242" t="s">
        <v>102</v>
      </c>
      <c r="C1" s="242"/>
      <c r="D1" s="24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33"/>
      <c r="Z1" s="33"/>
      <c r="AA1" s="33"/>
      <c r="AB1" s="33"/>
      <c r="AC1" s="33"/>
      <c r="AD1" s="33"/>
      <c r="AE1" s="33"/>
    </row>
    <row r="2" spans="1:31" ht="15" customHeight="1" x14ac:dyDescent="0.25">
      <c r="A2" s="114" t="str">
        <f>'Informações e Resumo'!$F$9</f>
        <v>34 h 30 min</v>
      </c>
      <c r="B2" s="242"/>
      <c r="C2" s="242"/>
      <c r="D2" s="24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33"/>
      <c r="Z2" s="33"/>
      <c r="AA2" s="33"/>
      <c r="AB2" s="33"/>
      <c r="AC2" s="33"/>
      <c r="AD2" s="33"/>
      <c r="AE2" s="33"/>
    </row>
    <row r="3" spans="1:31" ht="15" customHeight="1" x14ac:dyDescent="0.25">
      <c r="A3" s="114"/>
      <c r="B3" s="147"/>
      <c r="C3" s="147"/>
      <c r="D3" s="147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33"/>
      <c r="Z3" s="33"/>
      <c r="AA3" s="33"/>
      <c r="AB3" s="33"/>
      <c r="AC3" s="33"/>
      <c r="AD3" s="33"/>
      <c r="AE3" s="33"/>
    </row>
    <row r="4" spans="1:31" ht="15" customHeight="1" x14ac:dyDescent="0.25">
      <c r="A4" s="35" t="s">
        <v>74</v>
      </c>
      <c r="B4" s="147"/>
      <c r="C4" s="147"/>
      <c r="D4" s="147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33"/>
      <c r="Z4" s="33"/>
      <c r="AA4" s="33"/>
      <c r="AB4" s="33"/>
      <c r="AC4" s="33"/>
      <c r="AD4" s="33"/>
      <c r="AE4" s="33"/>
    </row>
    <row r="5" spans="1:31" ht="15" customHeight="1" x14ac:dyDescent="0.25">
      <c r="A5" s="110" t="s">
        <v>171</v>
      </c>
      <c r="B5" s="147"/>
      <c r="C5" s="147"/>
      <c r="D5" s="147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33"/>
      <c r="Z5" s="33"/>
      <c r="AA5" s="33"/>
      <c r="AB5" s="33"/>
      <c r="AC5" s="33"/>
      <c r="AD5" s="33"/>
      <c r="AE5" s="33"/>
    </row>
    <row r="6" spans="1:31" ht="15" customHeight="1" x14ac:dyDescent="0.25">
      <c r="A6" s="110" t="s">
        <v>172</v>
      </c>
      <c r="B6" s="147"/>
      <c r="C6" s="147"/>
      <c r="D6" s="147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33"/>
      <c r="Z6" s="33"/>
      <c r="AA6" s="33"/>
      <c r="AB6" s="33"/>
      <c r="AC6" s="33"/>
      <c r="AD6" s="33"/>
      <c r="AE6" s="33"/>
    </row>
    <row r="7" spans="1:31" ht="15" customHeight="1" x14ac:dyDescent="0.25">
      <c r="A7" s="110" t="s">
        <v>123</v>
      </c>
      <c r="B7" s="147"/>
      <c r="C7" s="147"/>
      <c r="D7" s="147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33"/>
      <c r="Z7" s="33"/>
      <c r="AA7" s="33"/>
      <c r="AB7" s="33"/>
      <c r="AC7" s="33"/>
      <c r="AD7" s="33"/>
      <c r="AE7" s="33"/>
    </row>
    <row r="8" spans="1:31" ht="15" customHeight="1" x14ac:dyDescent="0.25">
      <c r="A8" s="110" t="s">
        <v>117</v>
      </c>
      <c r="B8" s="147"/>
      <c r="C8" s="147"/>
      <c r="D8" s="147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33"/>
      <c r="Z8" s="33"/>
      <c r="AA8" s="33"/>
      <c r="AB8" s="33"/>
      <c r="AC8" s="33"/>
      <c r="AD8" s="33"/>
      <c r="AE8" s="33"/>
    </row>
    <row r="9" spans="1:31" ht="15" customHeight="1" x14ac:dyDescent="0.25">
      <c r="A9" s="34"/>
      <c r="B9" s="147"/>
      <c r="C9" s="147"/>
      <c r="D9" s="147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33"/>
      <c r="Z9" s="33"/>
      <c r="AA9" s="33"/>
      <c r="AB9" s="33"/>
      <c r="AC9" s="33"/>
      <c r="AD9" s="33"/>
      <c r="AE9" s="33"/>
    </row>
    <row r="10" spans="1:31" ht="15" customHeight="1" x14ac:dyDescent="0.25">
      <c r="A10" s="33"/>
      <c r="B10" s="34"/>
      <c r="C10" s="75">
        <f>IF(Gestão!$B$9&gt;0,0,8)</f>
        <v>8</v>
      </c>
      <c r="D10" s="75">
        <f>VLOOKUP('Informações e Resumo'!$B$9,Auxiliar!$E$35:$F$37,2,FALSE)/2</f>
        <v>1200</v>
      </c>
      <c r="E10" s="245" t="s">
        <v>184</v>
      </c>
      <c r="F10" s="245"/>
      <c r="G10" s="75">
        <f>SUM(G15:G24)</f>
        <v>480</v>
      </c>
      <c r="H10" s="243" t="str">
        <f>INT(G10/60) &amp; " h " &amp; ROUND(G10-(INT(G10/60)*60),0) &amp; " min"</f>
        <v>8 h 0 min</v>
      </c>
      <c r="I10" s="249" t="str">
        <f>IF(G10&gt;D10,"Tempo de aulas superior ao máximo semanal ("&amp;D10/60&amp;"h)",IF(Z12&lt;C10,"Quantidade de aulas inferior ao mínimo ("&amp;C10&amp;")",IF(AND(AA15&gt;0,AA16&lt;4),"Número mínimo de aulas na graduação deve ser 4","")))</f>
        <v/>
      </c>
      <c r="J10" s="249"/>
      <c r="K10" s="249"/>
      <c r="L10" s="249"/>
      <c r="M10" s="249"/>
      <c r="N10" s="249"/>
      <c r="O10" s="249"/>
      <c r="P10" s="243" t="s">
        <v>63</v>
      </c>
      <c r="Q10" s="243"/>
      <c r="R10" s="243"/>
      <c r="S10" s="243"/>
      <c r="T10" s="243"/>
      <c r="U10" s="243"/>
      <c r="V10" s="243"/>
      <c r="W10" s="76">
        <f>SUM(W15:W24)</f>
        <v>950</v>
      </c>
      <c r="X10" s="243" t="str">
        <f>INT(W10/60) &amp; " h " &amp; W10-(INT(W10/60)*60) &amp; " min"</f>
        <v>15 h 50 min</v>
      </c>
      <c r="Y10" s="249" t="str">
        <f>IF(W10&gt;D10*2,"Tempo total superior ao máximo semanal ("&amp;D10/30&amp;"h)","")</f>
        <v/>
      </c>
      <c r="Z10" s="249"/>
      <c r="AA10" s="249"/>
      <c r="AB10" s="249"/>
      <c r="AC10" s="33"/>
      <c r="AD10" s="33"/>
      <c r="AE10" s="33"/>
    </row>
    <row r="11" spans="1:31" ht="15" customHeight="1" x14ac:dyDescent="0.25">
      <c r="A11" s="74"/>
      <c r="B11" s="34"/>
      <c r="C11" s="34"/>
      <c r="D11" s="34"/>
      <c r="E11" s="246"/>
      <c r="F11" s="246"/>
      <c r="G11" s="78"/>
      <c r="H11" s="244"/>
      <c r="I11" s="250"/>
      <c r="J11" s="250"/>
      <c r="K11" s="250"/>
      <c r="L11" s="250"/>
      <c r="M11" s="250"/>
      <c r="N11" s="250"/>
      <c r="O11" s="250"/>
      <c r="P11" s="244"/>
      <c r="Q11" s="244"/>
      <c r="R11" s="244"/>
      <c r="S11" s="244"/>
      <c r="T11" s="244"/>
      <c r="U11" s="244"/>
      <c r="V11" s="244"/>
      <c r="W11" s="79"/>
      <c r="X11" s="244"/>
      <c r="Y11" s="249"/>
      <c r="Z11" s="249"/>
      <c r="AA11" s="249"/>
      <c r="AB11" s="249"/>
      <c r="AC11" s="33"/>
      <c r="AD11" s="33"/>
      <c r="AE11" s="33"/>
    </row>
    <row r="12" spans="1:31" s="1" customFormat="1" ht="15" customHeight="1" x14ac:dyDescent="0.25">
      <c r="A12" s="256" t="s">
        <v>1</v>
      </c>
      <c r="B12" s="259" t="s">
        <v>3</v>
      </c>
      <c r="C12" s="259" t="s">
        <v>182</v>
      </c>
      <c r="D12" s="259" t="s">
        <v>99</v>
      </c>
      <c r="E12" s="265" t="s">
        <v>183</v>
      </c>
      <c r="F12" s="265" t="s">
        <v>100</v>
      </c>
      <c r="G12" s="17"/>
      <c r="H12" s="262" t="s">
        <v>68</v>
      </c>
      <c r="I12" s="251" t="s">
        <v>69</v>
      </c>
      <c r="J12" s="251"/>
      <c r="K12" s="251"/>
      <c r="L12" s="251"/>
      <c r="M12" s="251"/>
      <c r="N12" s="251"/>
      <c r="O12" s="252"/>
      <c r="P12" s="251" t="s">
        <v>70</v>
      </c>
      <c r="Q12" s="251"/>
      <c r="R12" s="251"/>
      <c r="S12" s="251"/>
      <c r="T12" s="251"/>
      <c r="U12" s="251"/>
      <c r="V12" s="251"/>
      <c r="W12" s="19" t="s">
        <v>35</v>
      </c>
      <c r="X12" s="253" t="s">
        <v>71</v>
      </c>
      <c r="Y12" s="77"/>
      <c r="Z12" s="151">
        <f>SUM(Z15:Z24)</f>
        <v>8</v>
      </c>
      <c r="AA12" s="151"/>
      <c r="AB12" s="77"/>
      <c r="AC12" s="31"/>
      <c r="AD12" s="31"/>
      <c r="AE12" s="31"/>
    </row>
    <row r="13" spans="1:31" s="1" customFormat="1" x14ac:dyDescent="0.25">
      <c r="A13" s="257"/>
      <c r="B13" s="260"/>
      <c r="C13" s="260"/>
      <c r="D13" s="260"/>
      <c r="E13" s="266"/>
      <c r="F13" s="266"/>
      <c r="G13" s="38"/>
      <c r="H13" s="263"/>
      <c r="I13" s="251" t="s">
        <v>65</v>
      </c>
      <c r="J13" s="251"/>
      <c r="K13" s="251"/>
      <c r="L13" s="251"/>
      <c r="M13" s="39"/>
      <c r="N13" s="39"/>
      <c r="O13" s="49" t="s">
        <v>66</v>
      </c>
      <c r="P13" s="251" t="s">
        <v>65</v>
      </c>
      <c r="Q13" s="251"/>
      <c r="R13" s="251"/>
      <c r="S13" s="251"/>
      <c r="T13" s="39"/>
      <c r="U13" s="39"/>
      <c r="V13" s="40" t="s">
        <v>67</v>
      </c>
      <c r="W13" s="43"/>
      <c r="X13" s="253"/>
      <c r="Y13" s="77"/>
      <c r="Z13" s="151"/>
      <c r="AA13" s="151"/>
      <c r="AB13" s="77"/>
      <c r="AC13" s="31"/>
      <c r="AD13" s="31"/>
      <c r="AE13" s="31"/>
    </row>
    <row r="14" spans="1:31" s="1" customFormat="1" ht="32.25" customHeight="1" x14ac:dyDescent="0.25">
      <c r="A14" s="258"/>
      <c r="B14" s="261"/>
      <c r="C14" s="260"/>
      <c r="D14" s="260"/>
      <c r="E14" s="266"/>
      <c r="F14" s="266"/>
      <c r="G14" s="16"/>
      <c r="H14" s="264"/>
      <c r="I14" s="255" t="s">
        <v>95</v>
      </c>
      <c r="J14" s="255"/>
      <c r="K14" s="255" t="s">
        <v>96</v>
      </c>
      <c r="L14" s="255"/>
      <c r="M14" s="37"/>
      <c r="N14" s="37"/>
      <c r="O14" s="47"/>
      <c r="P14" s="251" t="s">
        <v>95</v>
      </c>
      <c r="Q14" s="251"/>
      <c r="R14" s="251" t="s">
        <v>96</v>
      </c>
      <c r="S14" s="251"/>
      <c r="T14" s="39"/>
      <c r="U14" s="39"/>
      <c r="V14" s="48"/>
      <c r="W14" s="15"/>
      <c r="X14" s="254"/>
      <c r="Y14" s="77"/>
      <c r="Z14" s="151"/>
      <c r="AA14" s="151"/>
      <c r="AB14" s="77"/>
      <c r="AC14" s="31"/>
      <c r="AD14" s="31"/>
      <c r="AE14" s="31"/>
    </row>
    <row r="15" spans="1:31" x14ac:dyDescent="0.25">
      <c r="A15" s="65" t="s">
        <v>82</v>
      </c>
      <c r="B15" s="65" t="s">
        <v>98</v>
      </c>
      <c r="C15" s="68">
        <v>4</v>
      </c>
      <c r="D15" s="68">
        <v>1</v>
      </c>
      <c r="E15" s="68">
        <v>1</v>
      </c>
      <c r="F15" s="99">
        <v>2</v>
      </c>
      <c r="G15" s="69">
        <f>IF(OR(AND(A15&lt;&gt;"",B15&lt;&gt;"",C15&lt;&gt;"",D15&lt;&gt;""),AND(A15&lt;&gt;"",B15&lt;&gt;"",E15&lt;&gt;"",F15&lt;&gt;"")),(C15*D15+E15*F15)*VLOOKUP(B15,Auxiliar!$E$26:$F$33,2,FALSE),"")</f>
        <v>360</v>
      </c>
      <c r="H15" s="46" t="str">
        <f t="shared" ref="H15:H17" si="0">IF(G15="","",INT(G15/60) &amp; " h " &amp; ROUND(G15-(INT(G15/60)*60),0) &amp; " min")</f>
        <v>6 h 0 min</v>
      </c>
      <c r="I15" s="70">
        <v>1</v>
      </c>
      <c r="J15" s="26" t="str">
        <f>IF($A15="",""," h")</f>
        <v xml:space="preserve"> h</v>
      </c>
      <c r="K15" s="71">
        <v>30</v>
      </c>
      <c r="L15" s="26" t="str">
        <f>IF($A15="",""," min")</f>
        <v xml:space="preserve"> min</v>
      </c>
      <c r="M15" s="26">
        <f>I15*60+K15</f>
        <v>90</v>
      </c>
      <c r="N15" s="198" t="str">
        <f>IF(H15="","",IF(M15&lt;60,"Problema",""))</f>
        <v/>
      </c>
      <c r="O15" s="200" t="str">
        <f t="shared" ref="O15:O24" si="1">IF(A15="","","1 h")</f>
        <v>1 h</v>
      </c>
      <c r="P15" s="70">
        <v>3</v>
      </c>
      <c r="Q15" s="119" t="str">
        <f>IF($A15="",""," h")</f>
        <v xml:space="preserve"> h</v>
      </c>
      <c r="R15" s="101">
        <v>30</v>
      </c>
      <c r="S15" s="119" t="str">
        <f>IF($A15="",""," min")</f>
        <v xml:space="preserve"> min</v>
      </c>
      <c r="T15" s="204">
        <f>P15*60+R15</f>
        <v>210</v>
      </c>
      <c r="U15" s="17" t="str">
        <f>IF(T15&gt;G15,"Problema","")</f>
        <v/>
      </c>
      <c r="V15" s="41" t="str">
        <f>H15</f>
        <v>6 h 0 min</v>
      </c>
      <c r="W15" s="44">
        <f>IF(H15="","",MIN(T15,G15)+G15+MAX(M15,60))</f>
        <v>660</v>
      </c>
      <c r="X15" s="42" t="str">
        <f t="shared" ref="X15:X17" si="2">IF($H15="","",INT(W15/60) &amp; " h " &amp; ROUND(W15-(INT(W15/60)*60),0) &amp; " min")</f>
        <v>11 h 0 min</v>
      </c>
      <c r="Y15" s="95"/>
      <c r="Z15" s="80">
        <f>C15*D15+E15*F15</f>
        <v>6</v>
      </c>
      <c r="AA15" s="80">
        <f>SUMIF(B15:B24,"Pós-Graduação",Z15:Z24)</f>
        <v>0</v>
      </c>
      <c r="AB15" s="95"/>
      <c r="AC15" s="33"/>
      <c r="AD15" s="33"/>
      <c r="AE15" s="33"/>
    </row>
    <row r="16" spans="1:31" x14ac:dyDescent="0.25">
      <c r="A16" s="65" t="s">
        <v>88</v>
      </c>
      <c r="B16" s="65" t="s">
        <v>98</v>
      </c>
      <c r="C16" s="66">
        <v>2</v>
      </c>
      <c r="D16" s="66">
        <v>1</v>
      </c>
      <c r="E16" s="66"/>
      <c r="F16" s="67"/>
      <c r="G16" s="69">
        <f>IF(OR(AND(A16&lt;&gt;"",B16&lt;&gt;"",C16&lt;&gt;"",D16&lt;&gt;""),AND(A16&lt;&gt;"",B16&lt;&gt;"",E16&lt;&gt;"",F16&lt;&gt;"")),(C16*D16+E16*F16)*VLOOKUP(B16,Auxiliar!$E$26:$F$33,2,FALSE),"")</f>
        <v>120</v>
      </c>
      <c r="H16" s="25" t="str">
        <f t="shared" si="0"/>
        <v>2 h 0 min</v>
      </c>
      <c r="I16" s="71">
        <v>1</v>
      </c>
      <c r="J16" s="26" t="str">
        <f t="shared" ref="J16:J24" si="3">IF($A16="",""," h")</f>
        <v xml:space="preserve"> h</v>
      </c>
      <c r="K16" s="71">
        <v>30</v>
      </c>
      <c r="L16" s="26" t="str">
        <f t="shared" ref="L16:L24" si="4">IF($A16="",""," min")</f>
        <v xml:space="preserve"> min</v>
      </c>
      <c r="M16" s="26">
        <f t="shared" ref="M16:M24" si="5">I16*60+K16</f>
        <v>90</v>
      </c>
      <c r="N16" s="198" t="str">
        <f t="shared" ref="N16:N24" si="6">IF(H16="","",IF(M16&lt;60,"Problema",""))</f>
        <v/>
      </c>
      <c r="O16" s="27" t="str">
        <f t="shared" si="1"/>
        <v>1 h</v>
      </c>
      <c r="P16" s="72">
        <v>1</v>
      </c>
      <c r="Q16" s="26" t="str">
        <f t="shared" ref="Q16:Q24" si="7">IF($A16="",""," h")</f>
        <v xml:space="preserve"> h</v>
      </c>
      <c r="R16" s="71">
        <v>20</v>
      </c>
      <c r="S16" s="26" t="str">
        <f t="shared" ref="S16:S24" si="8">IF($A16="",""," min")</f>
        <v xml:space="preserve"> min</v>
      </c>
      <c r="T16" s="198">
        <f t="shared" ref="T16:T24" si="9">P16*60+R16</f>
        <v>80</v>
      </c>
      <c r="U16" s="203" t="str">
        <f t="shared" ref="U16:U24" si="10">IF(T16&gt;G16,"Problema","")</f>
        <v/>
      </c>
      <c r="V16" s="41" t="str">
        <f t="shared" ref="V16:V24" si="11">H16</f>
        <v>2 h 0 min</v>
      </c>
      <c r="W16" s="44">
        <f t="shared" ref="W16:W24" si="12">IF(H16="","",MIN(T16,G16)+G16+MAX(M16,60))</f>
        <v>290</v>
      </c>
      <c r="X16" s="42" t="str">
        <f t="shared" si="2"/>
        <v>4 h 50 min</v>
      </c>
      <c r="Y16" s="95"/>
      <c r="Z16" s="80">
        <f t="shared" ref="Z16:Z24" si="13">C16*D16+E16*F16</f>
        <v>2</v>
      </c>
      <c r="AA16" s="80">
        <f>SUMIF(B15:B24,"Graduação",Z15:Z24)</f>
        <v>8</v>
      </c>
      <c r="AB16" s="95"/>
      <c r="AC16" s="33"/>
      <c r="AD16" s="33"/>
      <c r="AE16" s="33"/>
    </row>
    <row r="17" spans="1:31" x14ac:dyDescent="0.25">
      <c r="A17" s="65"/>
      <c r="B17" s="65"/>
      <c r="C17" s="66"/>
      <c r="D17" s="66"/>
      <c r="E17" s="66"/>
      <c r="F17" s="67"/>
      <c r="G17" s="69" t="str">
        <f>IF(OR(AND(A17&lt;&gt;"",B17&lt;&gt;"",C17&lt;&gt;"",D17&lt;&gt;""),AND(A17&lt;&gt;"",B17&lt;&gt;"",E17&lt;&gt;"",F17&lt;&gt;"")),(C17*D17+E17*F17)*VLOOKUP(B17,Auxiliar!$E$26:$F$33,2,FALSE),"")</f>
        <v/>
      </c>
      <c r="H17" s="25" t="str">
        <f t="shared" si="0"/>
        <v/>
      </c>
      <c r="I17" s="71"/>
      <c r="J17" s="26" t="str">
        <f t="shared" si="3"/>
        <v/>
      </c>
      <c r="K17" s="71"/>
      <c r="L17" s="26" t="str">
        <f t="shared" si="4"/>
        <v/>
      </c>
      <c r="M17" s="26">
        <f t="shared" si="5"/>
        <v>0</v>
      </c>
      <c r="N17" s="198" t="str">
        <f t="shared" si="6"/>
        <v/>
      </c>
      <c r="O17" s="27" t="str">
        <f t="shared" si="1"/>
        <v/>
      </c>
      <c r="P17" s="72"/>
      <c r="Q17" s="26" t="str">
        <f t="shared" si="7"/>
        <v/>
      </c>
      <c r="R17" s="71"/>
      <c r="S17" s="26" t="str">
        <f t="shared" si="8"/>
        <v/>
      </c>
      <c r="T17" s="198">
        <f t="shared" si="9"/>
        <v>0</v>
      </c>
      <c r="U17" s="203" t="str">
        <f t="shared" si="10"/>
        <v/>
      </c>
      <c r="V17" s="41" t="str">
        <f t="shared" si="11"/>
        <v/>
      </c>
      <c r="W17" s="28" t="str">
        <f>IF(H17="","",MIN(T17,G17)+G17+MAX(M17,60))</f>
        <v/>
      </c>
      <c r="X17" s="29" t="str">
        <f t="shared" si="2"/>
        <v/>
      </c>
      <c r="Y17" s="95"/>
      <c r="Z17" s="80">
        <f t="shared" si="13"/>
        <v>0</v>
      </c>
      <c r="AA17" s="80"/>
      <c r="AB17" s="95"/>
      <c r="AC17" s="33"/>
      <c r="AD17" s="33"/>
      <c r="AE17" s="33"/>
    </row>
    <row r="18" spans="1:31" x14ac:dyDescent="0.25">
      <c r="A18" s="65"/>
      <c r="B18" s="65"/>
      <c r="C18" s="66"/>
      <c r="D18" s="66"/>
      <c r="E18" s="66"/>
      <c r="F18" s="67"/>
      <c r="G18" s="69" t="str">
        <f>IF(OR(AND(A18&lt;&gt;"",B18&lt;&gt;"",C18&lt;&gt;"",D18&lt;&gt;""),AND(A18&lt;&gt;"",B18&lt;&gt;"",E18&lt;&gt;"",F18&lt;&gt;"")),(C18*D18+E18*F18)*VLOOKUP(B18,Auxiliar!$E$26:$F$33,2,FALSE),"")</f>
        <v/>
      </c>
      <c r="H18" s="25" t="str">
        <f>IF(G18="","",INT(G18/60) &amp; " h " &amp; ROUND(G18-(INT(G18/60)*60),0) &amp; " min")</f>
        <v/>
      </c>
      <c r="I18" s="71"/>
      <c r="J18" s="26" t="str">
        <f t="shared" si="3"/>
        <v/>
      </c>
      <c r="K18" s="71"/>
      <c r="L18" s="26" t="str">
        <f t="shared" si="4"/>
        <v/>
      </c>
      <c r="M18" s="26">
        <f t="shared" si="5"/>
        <v>0</v>
      </c>
      <c r="N18" s="198" t="str">
        <f t="shared" si="6"/>
        <v/>
      </c>
      <c r="O18" s="27" t="str">
        <f t="shared" si="1"/>
        <v/>
      </c>
      <c r="P18" s="72"/>
      <c r="Q18" s="26" t="str">
        <f t="shared" si="7"/>
        <v/>
      </c>
      <c r="R18" s="71"/>
      <c r="S18" s="26" t="str">
        <f t="shared" si="8"/>
        <v/>
      </c>
      <c r="T18" s="198">
        <f t="shared" si="9"/>
        <v>0</v>
      </c>
      <c r="U18" s="203" t="str">
        <f t="shared" si="10"/>
        <v/>
      </c>
      <c r="V18" s="41" t="str">
        <f t="shared" si="11"/>
        <v/>
      </c>
      <c r="W18" s="28" t="str">
        <f t="shared" si="12"/>
        <v/>
      </c>
      <c r="X18" s="29" t="str">
        <f>IF($H18="","",INT(W18/60) &amp; " h " &amp; ROUND(W18-(INT(W18/60)*60),0) &amp; " min")</f>
        <v/>
      </c>
      <c r="Y18" s="95"/>
      <c r="Z18" s="80">
        <f t="shared" si="13"/>
        <v>0</v>
      </c>
      <c r="AA18" s="80"/>
      <c r="AB18" s="95"/>
      <c r="AC18" s="33"/>
      <c r="AD18" s="33"/>
      <c r="AE18" s="33"/>
    </row>
    <row r="19" spans="1:31" x14ac:dyDescent="0.25">
      <c r="A19" s="65"/>
      <c r="B19" s="65"/>
      <c r="C19" s="66"/>
      <c r="D19" s="66"/>
      <c r="E19" s="66"/>
      <c r="F19" s="67"/>
      <c r="G19" s="69" t="str">
        <f>IF(OR(AND(A19&lt;&gt;"",B19&lt;&gt;"",C19&lt;&gt;"",D19&lt;&gt;""),AND(A19&lt;&gt;"",B19&lt;&gt;"",E19&lt;&gt;"",F19&lt;&gt;"")),(C19*D19+E19*F19)*VLOOKUP(B19,Auxiliar!$E$26:$F$33,2,FALSE),"")</f>
        <v/>
      </c>
      <c r="H19" s="25" t="str">
        <f t="shared" ref="H19:H24" si="14">IF(G19="","",INT(G19/60) &amp; " h " &amp; ROUND(G19-(INT(G19/60)*60),0) &amp; " min")</f>
        <v/>
      </c>
      <c r="I19" s="71"/>
      <c r="J19" s="26" t="str">
        <f t="shared" si="3"/>
        <v/>
      </c>
      <c r="K19" s="71"/>
      <c r="L19" s="26" t="str">
        <f t="shared" si="4"/>
        <v/>
      </c>
      <c r="M19" s="26">
        <f t="shared" si="5"/>
        <v>0</v>
      </c>
      <c r="N19" s="198" t="str">
        <f t="shared" si="6"/>
        <v/>
      </c>
      <c r="O19" s="27" t="str">
        <f t="shared" si="1"/>
        <v/>
      </c>
      <c r="P19" s="72"/>
      <c r="Q19" s="26" t="str">
        <f t="shared" si="7"/>
        <v/>
      </c>
      <c r="R19" s="71"/>
      <c r="S19" s="26" t="str">
        <f t="shared" si="8"/>
        <v/>
      </c>
      <c r="T19" s="198">
        <f t="shared" si="9"/>
        <v>0</v>
      </c>
      <c r="U19" s="203" t="str">
        <f t="shared" si="10"/>
        <v/>
      </c>
      <c r="V19" s="41" t="str">
        <f t="shared" si="11"/>
        <v/>
      </c>
      <c r="W19" s="28" t="str">
        <f t="shared" si="12"/>
        <v/>
      </c>
      <c r="X19" s="29" t="str">
        <f t="shared" ref="X19:X24" si="15">IF($H19="","",INT(W19/60) &amp; " h " &amp; ROUND(W19-(INT(W19/60)*60),0) &amp; " min")</f>
        <v/>
      </c>
      <c r="Y19" s="95"/>
      <c r="Z19" s="80">
        <f t="shared" si="13"/>
        <v>0</v>
      </c>
      <c r="AA19" s="80"/>
      <c r="AB19" s="95"/>
      <c r="AC19" s="33"/>
      <c r="AD19" s="33"/>
      <c r="AE19" s="33"/>
    </row>
    <row r="20" spans="1:31" x14ac:dyDescent="0.25">
      <c r="A20" s="65"/>
      <c r="B20" s="65"/>
      <c r="C20" s="66"/>
      <c r="D20" s="66"/>
      <c r="E20" s="66"/>
      <c r="F20" s="67"/>
      <c r="G20" s="69" t="str">
        <f>IF(OR(AND(A20&lt;&gt;"",B20&lt;&gt;"",C20&lt;&gt;"",D20&lt;&gt;""),AND(A20&lt;&gt;"",B20&lt;&gt;"",E20&lt;&gt;"",F20&lt;&gt;"")),(C20*D20+E20*F20)*VLOOKUP(B20,Auxiliar!$E$26:$F$33,2,FALSE),"")</f>
        <v/>
      </c>
      <c r="H20" s="25" t="str">
        <f t="shared" si="14"/>
        <v/>
      </c>
      <c r="I20" s="71"/>
      <c r="J20" s="26" t="str">
        <f t="shared" si="3"/>
        <v/>
      </c>
      <c r="K20" s="71"/>
      <c r="L20" s="26" t="str">
        <f t="shared" si="4"/>
        <v/>
      </c>
      <c r="M20" s="26">
        <f t="shared" si="5"/>
        <v>0</v>
      </c>
      <c r="N20" s="198" t="str">
        <f t="shared" si="6"/>
        <v/>
      </c>
      <c r="O20" s="27" t="str">
        <f t="shared" si="1"/>
        <v/>
      </c>
      <c r="P20" s="72"/>
      <c r="Q20" s="26" t="str">
        <f t="shared" si="7"/>
        <v/>
      </c>
      <c r="R20" s="71"/>
      <c r="S20" s="26" t="str">
        <f t="shared" si="8"/>
        <v/>
      </c>
      <c r="T20" s="198">
        <f t="shared" si="9"/>
        <v>0</v>
      </c>
      <c r="U20" s="203" t="str">
        <f t="shared" si="10"/>
        <v/>
      </c>
      <c r="V20" s="41" t="str">
        <f t="shared" si="11"/>
        <v/>
      </c>
      <c r="W20" s="28" t="str">
        <f t="shared" si="12"/>
        <v/>
      </c>
      <c r="X20" s="29" t="str">
        <f t="shared" si="15"/>
        <v/>
      </c>
      <c r="Y20" s="95"/>
      <c r="Z20" s="80">
        <f t="shared" si="13"/>
        <v>0</v>
      </c>
      <c r="AA20" s="80"/>
      <c r="AB20" s="95"/>
      <c r="AC20" s="33"/>
      <c r="AD20" s="33"/>
      <c r="AE20" s="33"/>
    </row>
    <row r="21" spans="1:31" x14ac:dyDescent="0.25">
      <c r="A21" s="65"/>
      <c r="B21" s="65"/>
      <c r="C21" s="66"/>
      <c r="D21" s="66"/>
      <c r="E21" s="66"/>
      <c r="F21" s="67"/>
      <c r="G21" s="69" t="str">
        <f>IF(OR(AND(A21&lt;&gt;"",B21&lt;&gt;"",C21&lt;&gt;"",D21&lt;&gt;""),AND(A21&lt;&gt;"",B21&lt;&gt;"",E21&lt;&gt;"",F21&lt;&gt;"")),(C21*D21+E21*F21)*VLOOKUP(B21,Auxiliar!$E$26:$F$33,2,FALSE),"")</f>
        <v/>
      </c>
      <c r="H21" s="25" t="str">
        <f t="shared" si="14"/>
        <v/>
      </c>
      <c r="I21" s="71"/>
      <c r="J21" s="26" t="str">
        <f t="shared" si="3"/>
        <v/>
      </c>
      <c r="K21" s="71"/>
      <c r="L21" s="26" t="str">
        <f t="shared" si="4"/>
        <v/>
      </c>
      <c r="M21" s="26">
        <f t="shared" si="5"/>
        <v>0</v>
      </c>
      <c r="N21" s="198" t="str">
        <f t="shared" si="6"/>
        <v/>
      </c>
      <c r="O21" s="27" t="str">
        <f t="shared" si="1"/>
        <v/>
      </c>
      <c r="P21" s="72"/>
      <c r="Q21" s="26" t="str">
        <f t="shared" si="7"/>
        <v/>
      </c>
      <c r="R21" s="71"/>
      <c r="S21" s="26" t="str">
        <f t="shared" si="8"/>
        <v/>
      </c>
      <c r="T21" s="198">
        <f t="shared" si="9"/>
        <v>0</v>
      </c>
      <c r="U21" s="203" t="str">
        <f t="shared" si="10"/>
        <v/>
      </c>
      <c r="V21" s="41" t="str">
        <f t="shared" si="11"/>
        <v/>
      </c>
      <c r="W21" s="28" t="str">
        <f t="shared" si="12"/>
        <v/>
      </c>
      <c r="X21" s="29" t="str">
        <f t="shared" si="15"/>
        <v/>
      </c>
      <c r="Y21" s="33"/>
      <c r="Z21" s="80">
        <f t="shared" si="13"/>
        <v>0</v>
      </c>
      <c r="AA21" s="80"/>
      <c r="AB21" s="33"/>
      <c r="AC21" s="33"/>
      <c r="AD21" s="33"/>
      <c r="AE21" s="33"/>
    </row>
    <row r="22" spans="1:31" ht="15" customHeight="1" x14ac:dyDescent="0.25">
      <c r="A22" s="65"/>
      <c r="B22" s="65"/>
      <c r="C22" s="66"/>
      <c r="D22" s="66"/>
      <c r="E22" s="66"/>
      <c r="F22" s="67"/>
      <c r="G22" s="69" t="str">
        <f>IF(OR(AND(A22&lt;&gt;"",B22&lt;&gt;"",C22&lt;&gt;"",D22&lt;&gt;""),AND(A22&lt;&gt;"",B22&lt;&gt;"",E22&lt;&gt;"",F22&lt;&gt;"")),(C22*D22+E22*F22)*VLOOKUP(B22,Auxiliar!$E$26:$F$33,2,FALSE),"")</f>
        <v/>
      </c>
      <c r="H22" s="25" t="str">
        <f t="shared" si="14"/>
        <v/>
      </c>
      <c r="I22" s="71"/>
      <c r="J22" s="26" t="str">
        <f t="shared" si="3"/>
        <v/>
      </c>
      <c r="K22" s="71"/>
      <c r="L22" s="26" t="str">
        <f t="shared" si="4"/>
        <v/>
      </c>
      <c r="M22" s="26">
        <f t="shared" si="5"/>
        <v>0</v>
      </c>
      <c r="N22" s="198" t="str">
        <f t="shared" si="6"/>
        <v/>
      </c>
      <c r="O22" s="27" t="str">
        <f t="shared" si="1"/>
        <v/>
      </c>
      <c r="P22" s="72"/>
      <c r="Q22" s="26" t="str">
        <f t="shared" si="7"/>
        <v/>
      </c>
      <c r="R22" s="71"/>
      <c r="S22" s="26" t="str">
        <f t="shared" si="8"/>
        <v/>
      </c>
      <c r="T22" s="198">
        <f t="shared" si="9"/>
        <v>0</v>
      </c>
      <c r="U22" s="203" t="str">
        <f t="shared" si="10"/>
        <v/>
      </c>
      <c r="V22" s="41" t="str">
        <f t="shared" si="11"/>
        <v/>
      </c>
      <c r="W22" s="28" t="str">
        <f t="shared" si="12"/>
        <v/>
      </c>
      <c r="X22" s="29" t="str">
        <f t="shared" si="15"/>
        <v/>
      </c>
      <c r="Y22" s="33"/>
      <c r="Z22" s="80">
        <f t="shared" si="13"/>
        <v>0</v>
      </c>
      <c r="AA22" s="80"/>
      <c r="AB22" s="33"/>
      <c r="AC22" s="33"/>
      <c r="AD22" s="33"/>
      <c r="AE22" s="33"/>
    </row>
    <row r="23" spans="1:31" x14ac:dyDescent="0.25">
      <c r="A23" s="65"/>
      <c r="B23" s="65"/>
      <c r="C23" s="66"/>
      <c r="D23" s="66"/>
      <c r="E23" s="66"/>
      <c r="F23" s="67"/>
      <c r="G23" s="69" t="str">
        <f>IF(OR(AND(A23&lt;&gt;"",B23&lt;&gt;"",C23&lt;&gt;"",D23&lt;&gt;""),AND(A23&lt;&gt;"",B23&lt;&gt;"",E23&lt;&gt;"",F23&lt;&gt;"")),(C23*D23+E23*F23)*VLOOKUP(B23,Auxiliar!$E$26:$F$33,2,FALSE),"")</f>
        <v/>
      </c>
      <c r="H23" s="25" t="str">
        <f t="shared" si="14"/>
        <v/>
      </c>
      <c r="I23" s="71"/>
      <c r="J23" s="26" t="str">
        <f t="shared" si="3"/>
        <v/>
      </c>
      <c r="K23" s="71"/>
      <c r="L23" s="26" t="str">
        <f t="shared" si="4"/>
        <v/>
      </c>
      <c r="M23" s="26">
        <f t="shared" si="5"/>
        <v>0</v>
      </c>
      <c r="N23" s="198" t="str">
        <f t="shared" si="6"/>
        <v/>
      </c>
      <c r="O23" s="27" t="str">
        <f t="shared" si="1"/>
        <v/>
      </c>
      <c r="P23" s="72"/>
      <c r="Q23" s="26" t="str">
        <f t="shared" si="7"/>
        <v/>
      </c>
      <c r="R23" s="71"/>
      <c r="S23" s="26" t="str">
        <f t="shared" si="8"/>
        <v/>
      </c>
      <c r="T23" s="198">
        <f t="shared" si="9"/>
        <v>0</v>
      </c>
      <c r="U23" s="203" t="str">
        <f t="shared" si="10"/>
        <v/>
      </c>
      <c r="V23" s="41" t="str">
        <f t="shared" si="11"/>
        <v/>
      </c>
      <c r="W23" s="28" t="str">
        <f t="shared" si="12"/>
        <v/>
      </c>
      <c r="X23" s="29" t="str">
        <f t="shared" si="15"/>
        <v/>
      </c>
      <c r="Y23" s="33"/>
      <c r="Z23" s="80">
        <f t="shared" si="13"/>
        <v>0</v>
      </c>
      <c r="AA23" s="80"/>
      <c r="AB23" s="33"/>
      <c r="AC23" s="33"/>
      <c r="AD23" s="33"/>
      <c r="AE23" s="33"/>
    </row>
    <row r="24" spans="1:31" x14ac:dyDescent="0.25">
      <c r="A24" s="86"/>
      <c r="B24" s="86"/>
      <c r="C24" s="87"/>
      <c r="D24" s="87"/>
      <c r="E24" s="87"/>
      <c r="F24" s="105"/>
      <c r="G24" s="88" t="str">
        <f>IF(OR(AND(A24&lt;&gt;"",B24&lt;&gt;"",C24&lt;&gt;"",D24&lt;&gt;""),AND(A24&lt;&gt;"",B24&lt;&gt;"",E24&lt;&gt;"",F24&lt;&gt;"")),(C24*D24+E24*F24)*VLOOKUP(B24,Auxiliar!$E$26:$F$33,2,FALSE),"")</f>
        <v/>
      </c>
      <c r="H24" s="89" t="str">
        <f t="shared" si="14"/>
        <v/>
      </c>
      <c r="I24" s="90"/>
      <c r="J24" s="91" t="str">
        <f t="shared" si="3"/>
        <v/>
      </c>
      <c r="K24" s="90"/>
      <c r="L24" s="91" t="str">
        <f t="shared" si="4"/>
        <v/>
      </c>
      <c r="M24" s="91">
        <f t="shared" si="5"/>
        <v>0</v>
      </c>
      <c r="N24" s="199" t="str">
        <f t="shared" si="6"/>
        <v/>
      </c>
      <c r="O24" s="92" t="str">
        <f t="shared" si="1"/>
        <v/>
      </c>
      <c r="P24" s="202"/>
      <c r="Q24" s="91" t="str">
        <f t="shared" si="7"/>
        <v/>
      </c>
      <c r="R24" s="90"/>
      <c r="S24" s="91" t="str">
        <f t="shared" si="8"/>
        <v/>
      </c>
      <c r="T24" s="199">
        <f t="shared" si="9"/>
        <v>0</v>
      </c>
      <c r="U24" s="205" t="str">
        <f t="shared" si="10"/>
        <v/>
      </c>
      <c r="V24" s="201" t="str">
        <f t="shared" si="11"/>
        <v/>
      </c>
      <c r="W24" s="93" t="str">
        <f t="shared" si="12"/>
        <v/>
      </c>
      <c r="X24" s="94" t="str">
        <f t="shared" si="15"/>
        <v/>
      </c>
      <c r="Y24" s="33"/>
      <c r="Z24" s="80">
        <f t="shared" si="13"/>
        <v>0</v>
      </c>
      <c r="AA24" s="80"/>
      <c r="AB24" s="33"/>
      <c r="AC24" s="33"/>
      <c r="AD24" s="33"/>
      <c r="AE24" s="33"/>
    </row>
    <row r="25" spans="1:31" ht="15" customHeight="1" x14ac:dyDescent="0.25">
      <c r="A25" s="33"/>
      <c r="B25" s="33"/>
      <c r="C25" s="33"/>
      <c r="D25" s="33"/>
      <c r="E25" s="33"/>
      <c r="F25" s="33"/>
      <c r="G25" s="81"/>
      <c r="H25" s="81"/>
      <c r="I25" s="247" t="str">
        <f>IF(N24&amp;N23&amp;N22&amp;N21&amp;N20&amp;N19&amp;N18&amp;N17&amp;N16&amp;N15&lt;&gt;"","O tempo de atendimento deve ser no mínimo 1 hora por disciplina","")</f>
        <v/>
      </c>
      <c r="J25" s="247"/>
      <c r="K25" s="247"/>
      <c r="L25" s="247"/>
      <c r="M25" s="247"/>
      <c r="N25" s="247"/>
      <c r="O25" s="247"/>
      <c r="P25" s="240" t="str">
        <f>IF(U24&amp;U23&amp;U22&amp;U21&amp;U20&amp;U19&amp;U18&amp;U17&amp;U16&amp;U15&lt;&gt;"","O tempo de preparação e avaliação deve ser no máximo igual ao tempo em sala de aula","")</f>
        <v/>
      </c>
      <c r="Q25" s="240"/>
      <c r="R25" s="240"/>
      <c r="S25" s="240"/>
      <c r="T25" s="240"/>
      <c r="U25" s="240"/>
      <c r="V25" s="240"/>
      <c r="W25" s="240"/>
      <c r="X25" s="33"/>
      <c r="Y25" s="33"/>
      <c r="Z25" s="33"/>
      <c r="AA25" s="33"/>
      <c r="AB25" s="33"/>
      <c r="AC25" s="33"/>
      <c r="AD25" s="33"/>
      <c r="AE25" s="33"/>
    </row>
    <row r="26" spans="1:31" x14ac:dyDescent="0.25">
      <c r="A26" s="34"/>
      <c r="B26" s="33"/>
      <c r="C26" s="33"/>
      <c r="D26" s="33"/>
      <c r="E26" s="184" t="s">
        <v>185</v>
      </c>
      <c r="F26" s="185">
        <f>SUM(Z15:Z24)</f>
        <v>8</v>
      </c>
      <c r="G26" s="81"/>
      <c r="H26" s="81"/>
      <c r="I26" s="248"/>
      <c r="J26" s="248"/>
      <c r="K26" s="248"/>
      <c r="L26" s="248"/>
      <c r="M26" s="248"/>
      <c r="N26" s="248"/>
      <c r="O26" s="248"/>
      <c r="P26" s="241"/>
      <c r="Q26" s="241"/>
      <c r="R26" s="241"/>
      <c r="S26" s="241"/>
      <c r="T26" s="241"/>
      <c r="U26" s="241"/>
      <c r="V26" s="241"/>
      <c r="W26" s="241"/>
      <c r="X26" s="33"/>
      <c r="Y26" s="33"/>
      <c r="Z26" s="33"/>
      <c r="AA26" s="33"/>
      <c r="AB26" s="33"/>
      <c r="AC26" s="33"/>
      <c r="AD26" s="33"/>
      <c r="AE26" s="33"/>
    </row>
    <row r="27" spans="1:31" ht="15" customHeight="1" x14ac:dyDescent="0.25">
      <c r="A27" s="34"/>
      <c r="B27" s="33"/>
      <c r="C27" s="33"/>
      <c r="D27" s="33"/>
      <c r="E27" s="33"/>
      <c r="F27" s="33"/>
      <c r="G27" s="81"/>
      <c r="H27" s="81"/>
      <c r="I27" s="241" t="str">
        <f>IF(I25&lt;&gt;"","Se o tempo informado for menor que 1 hora, será considerado o tempo mínimo na soma total","")</f>
        <v/>
      </c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33"/>
      <c r="Y27" s="33"/>
      <c r="Z27" s="33"/>
      <c r="AA27" s="33"/>
      <c r="AB27" s="33"/>
      <c r="AC27" s="33"/>
      <c r="AD27" s="33"/>
      <c r="AE27" s="33"/>
    </row>
    <row r="28" spans="1:31" ht="15" customHeight="1" x14ac:dyDescent="0.25">
      <c r="A28" s="34"/>
      <c r="B28" s="33"/>
      <c r="C28" s="33"/>
      <c r="D28" s="33"/>
      <c r="E28" s="33"/>
      <c r="F28" s="33"/>
      <c r="G28" s="81"/>
      <c r="H28" s="81"/>
      <c r="I28" s="241"/>
      <c r="J28" s="241"/>
      <c r="K28" s="241"/>
      <c r="L28" s="241"/>
      <c r="M28" s="241"/>
      <c r="N28" s="241"/>
      <c r="O28" s="241"/>
      <c r="P28" s="241" t="str">
        <f>IF(P25&lt;&gt;"","Se o tempo informado for maior, será desconsiderado o tempo excedente","")</f>
        <v/>
      </c>
      <c r="Q28" s="241"/>
      <c r="R28" s="241"/>
      <c r="S28" s="241"/>
      <c r="T28" s="241"/>
      <c r="U28" s="241"/>
      <c r="V28" s="241"/>
      <c r="W28" s="241"/>
      <c r="X28" s="33"/>
      <c r="Y28" s="33"/>
      <c r="Z28" s="33"/>
      <c r="AA28" s="33"/>
      <c r="AB28" s="33"/>
      <c r="AC28" s="33"/>
      <c r="AD28" s="33"/>
      <c r="AE28" s="33"/>
    </row>
    <row r="29" spans="1:31" x14ac:dyDescent="0.25">
      <c r="A29" s="34"/>
      <c r="B29" s="33"/>
      <c r="C29" s="33"/>
      <c r="D29" s="33"/>
      <c r="E29" s="33"/>
      <c r="F29" s="33"/>
      <c r="G29" s="81"/>
      <c r="H29" s="8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33"/>
      <c r="Y29" s="33"/>
      <c r="Z29" s="33"/>
      <c r="AA29" s="33"/>
      <c r="AB29" s="33"/>
      <c r="AC29" s="33"/>
      <c r="AD29" s="33"/>
      <c r="AE29" s="33"/>
    </row>
    <row r="30" spans="1:31" x14ac:dyDescent="0.25">
      <c r="A30" s="34"/>
      <c r="B30" s="33"/>
      <c r="C30" s="33"/>
      <c r="D30" s="33"/>
      <c r="E30" s="33"/>
      <c r="F30" s="33"/>
      <c r="G30" s="81"/>
      <c r="H30" s="81"/>
      <c r="I30" s="81"/>
      <c r="J30" s="81"/>
      <c r="K30" s="81"/>
      <c r="L30" s="81"/>
      <c r="M30" s="81"/>
      <c r="N30" s="81"/>
      <c r="O30" s="81"/>
      <c r="P30" s="241"/>
      <c r="Q30" s="241"/>
      <c r="R30" s="241"/>
      <c r="S30" s="241"/>
      <c r="T30" s="241"/>
      <c r="U30" s="241"/>
      <c r="V30" s="241"/>
      <c r="W30" s="241"/>
      <c r="X30" s="33"/>
      <c r="Y30" s="33"/>
      <c r="Z30" s="33"/>
      <c r="AA30" s="33"/>
      <c r="AB30" s="33"/>
      <c r="AC30" s="33"/>
      <c r="AD30" s="33"/>
      <c r="AE30" s="33"/>
    </row>
    <row r="31" spans="1:31" x14ac:dyDescent="0.25">
      <c r="A31" s="33"/>
      <c r="B31" s="33"/>
      <c r="C31" s="33"/>
      <c r="D31" s="33"/>
      <c r="E31" s="33"/>
      <c r="F31" s="33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5"/>
      <c r="U31" s="95"/>
      <c r="V31" s="81"/>
      <c r="W31" s="96"/>
      <c r="X31" s="33"/>
      <c r="Y31" s="33"/>
      <c r="Z31" s="33"/>
      <c r="AA31" s="33"/>
      <c r="AB31" s="33"/>
      <c r="AC31" s="33"/>
      <c r="AD31" s="33"/>
      <c r="AE31" s="33"/>
    </row>
    <row r="32" spans="1:31" x14ac:dyDescent="0.25">
      <c r="A32" s="33"/>
      <c r="B32" s="33"/>
      <c r="C32" s="33"/>
      <c r="D32" s="33"/>
      <c r="E32" s="33"/>
      <c r="F32" s="33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95"/>
      <c r="U32" s="95"/>
      <c r="V32" s="81"/>
      <c r="W32" s="96"/>
      <c r="X32" s="33"/>
      <c r="Y32" s="33"/>
      <c r="Z32" s="33"/>
      <c r="AA32" s="33"/>
      <c r="AB32" s="33"/>
      <c r="AC32" s="33"/>
      <c r="AD32" s="33"/>
      <c r="AE32" s="33"/>
    </row>
    <row r="33" spans="1:31" x14ac:dyDescent="0.25">
      <c r="A33" s="33"/>
      <c r="B33" s="33"/>
      <c r="C33" s="33"/>
      <c r="D33" s="33"/>
      <c r="E33" s="33"/>
      <c r="F33" s="33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5"/>
      <c r="U33" s="95"/>
      <c r="V33" s="81"/>
      <c r="W33" s="96"/>
      <c r="X33" s="33"/>
      <c r="Y33" s="33"/>
      <c r="Z33" s="33"/>
      <c r="AA33" s="33"/>
      <c r="AB33" s="33"/>
      <c r="AC33" s="33"/>
      <c r="AD33" s="33"/>
      <c r="AE33" s="33"/>
    </row>
    <row r="34" spans="1:31" x14ac:dyDescent="0.25">
      <c r="A34" s="33"/>
      <c r="B34" s="33"/>
      <c r="C34" s="33"/>
      <c r="D34" s="33"/>
      <c r="E34" s="33"/>
      <c r="F34" s="33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95"/>
      <c r="U34" s="95"/>
      <c r="V34" s="81"/>
      <c r="W34" s="96"/>
      <c r="X34" s="33"/>
      <c r="Y34" s="33"/>
      <c r="Z34" s="33"/>
      <c r="AA34" s="33"/>
      <c r="AB34" s="33"/>
      <c r="AC34" s="33"/>
      <c r="AD34" s="33"/>
      <c r="AE34" s="33"/>
    </row>
    <row r="35" spans="1:31" x14ac:dyDescent="0.25">
      <c r="A35" s="33"/>
      <c r="B35" s="33"/>
      <c r="C35" s="33"/>
      <c r="D35" s="33"/>
      <c r="E35" s="33"/>
      <c r="F35" s="33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5"/>
      <c r="U35" s="95"/>
      <c r="V35" s="81"/>
      <c r="W35" s="96"/>
      <c r="X35" s="33"/>
      <c r="Y35" s="33"/>
      <c r="Z35" s="33"/>
      <c r="AA35" s="33"/>
      <c r="AB35" s="33"/>
      <c r="AC35" s="33"/>
      <c r="AD35" s="33"/>
      <c r="AE35" s="33"/>
    </row>
    <row r="36" spans="1:31" x14ac:dyDescent="0.25">
      <c r="A36" s="33"/>
      <c r="B36" s="33"/>
      <c r="C36" s="33"/>
      <c r="D36" s="33"/>
      <c r="E36" s="33"/>
      <c r="F36" s="33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95"/>
      <c r="U36" s="95"/>
      <c r="V36" s="81"/>
      <c r="W36" s="96"/>
      <c r="X36" s="33"/>
      <c r="Y36" s="33"/>
      <c r="Z36" s="33"/>
      <c r="AA36" s="33"/>
      <c r="AB36" s="33"/>
      <c r="AC36" s="33"/>
      <c r="AD36" s="33"/>
      <c r="AE36" s="33"/>
    </row>
    <row r="37" spans="1:31" x14ac:dyDescent="0.25">
      <c r="A37" s="33"/>
      <c r="B37" s="33"/>
      <c r="C37" s="33"/>
      <c r="D37" s="33"/>
      <c r="E37" s="33"/>
      <c r="F37" s="33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95"/>
      <c r="U37" s="95"/>
      <c r="V37" s="81"/>
      <c r="W37" s="96"/>
      <c r="X37" s="33"/>
      <c r="Y37" s="33"/>
      <c r="Z37" s="33"/>
      <c r="AA37" s="33"/>
      <c r="AB37" s="33"/>
      <c r="AC37" s="33"/>
      <c r="AD37" s="33"/>
      <c r="AE37" s="33"/>
    </row>
  </sheetData>
  <sheetProtection algorithmName="SHA-512" hashValue="IVlhqPPqxutM1CC5Xl990gurvdrzTOmy4JA/l6V7Gs1xROMqKj5s8R4IG1BNoByj65sXEFslxF5bTx+85CT5TA==" saltValue="qdG5U6wt9dV0PZWbUiBw7g==" spinCount="100000" sheet="1" objects="1" scenarios="1" selectLockedCells="1"/>
  <mergeCells count="27">
    <mergeCell ref="A12:A14"/>
    <mergeCell ref="B12:B14"/>
    <mergeCell ref="C12:C14"/>
    <mergeCell ref="D12:D14"/>
    <mergeCell ref="H12:H14"/>
    <mergeCell ref="E12:E14"/>
    <mergeCell ref="F12:F14"/>
    <mergeCell ref="Y10:AB11"/>
    <mergeCell ref="I10:O11"/>
    <mergeCell ref="P12:V12"/>
    <mergeCell ref="I12:O12"/>
    <mergeCell ref="X12:X14"/>
    <mergeCell ref="I14:J14"/>
    <mergeCell ref="K14:L14"/>
    <mergeCell ref="P14:Q14"/>
    <mergeCell ref="R14:S14"/>
    <mergeCell ref="P13:S13"/>
    <mergeCell ref="I13:L13"/>
    <mergeCell ref="P25:W27"/>
    <mergeCell ref="P28:W30"/>
    <mergeCell ref="B1:D2"/>
    <mergeCell ref="H10:H11"/>
    <mergeCell ref="X10:X11"/>
    <mergeCell ref="P10:V11"/>
    <mergeCell ref="E10:F11"/>
    <mergeCell ref="I25:O26"/>
    <mergeCell ref="I27:O29"/>
  </mergeCells>
  <conditionalFormatting sqref="B15:B24">
    <cfRule type="expression" dxfId="27" priority="29">
      <formula>AND($A15&lt;&gt;"",$B15="")</formula>
    </cfRule>
  </conditionalFormatting>
  <conditionalFormatting sqref="C15:C24">
    <cfRule type="expression" dxfId="26" priority="15">
      <formula>AND($A15&lt;&gt;"",$B15&lt;&gt;"",$C15="",$E15="")</formula>
    </cfRule>
  </conditionalFormatting>
  <conditionalFormatting sqref="D15:D24">
    <cfRule type="expression" dxfId="25" priority="13">
      <formula>AND($A15&lt;&gt;"",$B15&lt;&gt;"",$C15="",$D15&lt;&gt;"")</formula>
    </cfRule>
    <cfRule type="expression" dxfId="24" priority="14">
      <formula>AND($A15&lt;&gt;"",$B15&lt;&gt;"",$C15&lt;&gt;"",$D15="")</formula>
    </cfRule>
  </conditionalFormatting>
  <conditionalFormatting sqref="E15:E24">
    <cfRule type="expression" dxfId="23" priority="12">
      <formula>AND($A15&lt;&gt;"",$B15&lt;&gt;"",$C15="",$E15="")</formula>
    </cfRule>
  </conditionalFormatting>
  <conditionalFormatting sqref="F15:F24">
    <cfRule type="expression" dxfId="22" priority="10">
      <formula>AND($A15&lt;&gt;"",$B15&lt;&gt;"",$E15="",$F15&lt;&gt;"")</formula>
    </cfRule>
    <cfRule type="expression" dxfId="21" priority="11">
      <formula>AND($A15&lt;&gt;"",$B15&lt;&gt;"",E15&lt;&gt;"",$F15="")</formula>
    </cfRule>
  </conditionalFormatting>
  <conditionalFormatting sqref="H10:I10">
    <cfRule type="expression" dxfId="20" priority="53">
      <formula>$G10&gt;$D10</formula>
    </cfRule>
  </conditionalFormatting>
  <conditionalFormatting sqref="I10:O11">
    <cfRule type="expression" dxfId="19" priority="8">
      <formula>AND($AA$15&gt;0,$AA$16&lt;4)</formula>
    </cfRule>
    <cfRule type="expression" dxfId="18" priority="33">
      <formula>$Z$12&lt;$C$10</formula>
    </cfRule>
  </conditionalFormatting>
  <conditionalFormatting sqref="I15:O24">
    <cfRule type="expression" dxfId="17" priority="7">
      <formula>AND($M15&lt;60,$M15&lt;&gt;0)</formula>
    </cfRule>
  </conditionalFormatting>
  <conditionalFormatting sqref="I25:O29">
    <cfRule type="expression" dxfId="16" priority="4">
      <formula>$I$25&lt;&gt;""</formula>
    </cfRule>
  </conditionalFormatting>
  <conditionalFormatting sqref="P25">
    <cfRule type="expression" dxfId="15" priority="3">
      <formula>$I$25&lt;&gt;""</formula>
    </cfRule>
  </conditionalFormatting>
  <conditionalFormatting sqref="P28">
    <cfRule type="expression" dxfId="14" priority="2">
      <formula>$I$25&lt;&gt;""</formula>
    </cfRule>
  </conditionalFormatting>
  <conditionalFormatting sqref="P15:T24">
    <cfRule type="expression" dxfId="13" priority="34">
      <formula>$T15&gt;$G15</formula>
    </cfRule>
  </conditionalFormatting>
  <conditionalFormatting sqref="P25:W30">
    <cfRule type="expression" dxfId="12" priority="1">
      <formula>$P$25&lt;&gt;""</formula>
    </cfRule>
  </conditionalFormatting>
  <conditionalFormatting sqref="X10:Y10">
    <cfRule type="expression" dxfId="11" priority="54">
      <formula>$W10&gt;($D10*2)</formula>
    </cfRule>
  </conditionalFormatting>
  <dataValidations count="5">
    <dataValidation allowBlank="1" showErrorMessage="1" prompt="Digite o nome/código da disciplina" sqref="A15" xr:uid="{00000000-0002-0000-0100-000000000000}"/>
    <dataValidation type="list" allowBlank="1" showErrorMessage="1" prompt="Selecione o tipo de disciplina" sqref="B15" xr:uid="{00000000-0002-0000-0100-000001000000}">
      <formula1>Disciplinas</formula1>
    </dataValidation>
    <dataValidation type="list" allowBlank="1" showInputMessage="1" showErrorMessage="1" sqref="B16:B24" xr:uid="{00000000-0002-0000-0100-000002000000}">
      <formula1>Disciplinas</formula1>
    </dataValidation>
    <dataValidation allowBlank="1" showErrorMessage="1" error="Use apenas números" sqref="C15:F24" xr:uid="{00000000-0002-0000-0100-000003000000}"/>
    <dataValidation type="whole" allowBlank="1" showInputMessage="1" showErrorMessage="1" error="Use apenas números" sqref="I15:I24 K15:K24 P15:P24 R15:R24" xr:uid="{00000000-0002-0000-0100-000004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topLeftCell="A4" zoomScaleNormal="100" workbookViewId="0">
      <selection activeCell="A13" sqref="A13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28515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42" t="s">
        <v>194</v>
      </c>
      <c r="C1" s="242"/>
      <c r="D1" s="242"/>
      <c r="E1" s="242"/>
      <c r="F1" s="242"/>
      <c r="G1" s="242"/>
      <c r="H1" s="242"/>
      <c r="I1" s="24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34 h 30 min</v>
      </c>
      <c r="B2" s="242"/>
      <c r="C2" s="242"/>
      <c r="D2" s="242"/>
      <c r="E2" s="242"/>
      <c r="F2" s="242"/>
      <c r="G2" s="242"/>
      <c r="H2" s="242"/>
      <c r="I2" s="24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45" t="s">
        <v>76</v>
      </c>
      <c r="B8" s="111">
        <f>SUM(F12:F19)</f>
        <v>60</v>
      </c>
      <c r="C8" s="243" t="str">
        <f>INT(B8/60) &amp; " h " &amp; B8-(INT(B8/60)*60) &amp; " min"</f>
        <v>1 h 0 min</v>
      </c>
      <c r="D8" s="243"/>
      <c r="E8" s="243"/>
      <c r="F8" s="249" t="str">
        <f>IF(B8&gt;K9,"Tempo total superior ao máximo semanal ("&amp;K9/60&amp;"h)","")</f>
        <v/>
      </c>
      <c r="G8" s="249"/>
      <c r="H8" s="249"/>
      <c r="I8" s="249"/>
      <c r="J8" s="249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46"/>
      <c r="B9" s="77"/>
      <c r="C9" s="244"/>
      <c r="D9" s="244"/>
      <c r="E9" s="244"/>
      <c r="F9" s="249"/>
      <c r="G9" s="249"/>
      <c r="H9" s="249"/>
      <c r="I9" s="249"/>
      <c r="J9" s="249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1</v>
      </c>
      <c r="C12" s="26" t="str">
        <f>IF(A12="",""," h")</f>
        <v xml:space="preserve"> h</v>
      </c>
      <c r="D12" s="71">
        <v>0</v>
      </c>
      <c r="E12" s="26" t="str">
        <f>IF(A12="",""," min")</f>
        <v xml:space="preserve"> min</v>
      </c>
      <c r="F12" s="45">
        <f>(B12*60+D12)</f>
        <v>60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19" si="0">IF(A13="",""," h")</f>
        <v/>
      </c>
      <c r="D13" s="71"/>
      <c r="E13" s="26" t="str">
        <f t="shared" ref="E13:E19" si="1">IF(A13="",""," min")</f>
        <v/>
      </c>
      <c r="F13" s="45">
        <f t="shared" ref="F13:F19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si="2"/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2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 t="shared" si="2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12"/>
      <c r="B19" s="105"/>
      <c r="C19" s="91" t="str">
        <f t="shared" si="0"/>
        <v/>
      </c>
      <c r="D19" s="90"/>
      <c r="E19" s="91" t="str">
        <f t="shared" si="1"/>
        <v/>
      </c>
      <c r="F19" s="115">
        <f t="shared" si="2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</sheetData>
  <sheetProtection algorithmName="SHA-512" hashValue="zhjT44+OQ112PWityblDgdnVozeLJFIpEAqc4NbuDGFqnTeSmeC82MAXRYpKpPzrNkx5AVDG3ixP4XJ/t3JbtA==" saltValue="yin4z3/jsLDOctRTURd21g==" spinCount="100000" sheet="1" objects="1" scenarios="1" selectLockedCells="1"/>
  <mergeCells count="7">
    <mergeCell ref="B1:I2"/>
    <mergeCell ref="A8:A9"/>
    <mergeCell ref="C8:E9"/>
    <mergeCell ref="F8:J9"/>
    <mergeCell ref="A10:A11"/>
    <mergeCell ref="B10:F11"/>
    <mergeCell ref="G10:G11"/>
  </mergeCells>
  <conditionalFormatting sqref="C8 F8">
    <cfRule type="expression" dxfId="10" priority="1">
      <formula>$B$8&gt;$K$9</formula>
    </cfRule>
  </conditionalFormatting>
  <dataValidations count="1">
    <dataValidation type="whole" allowBlank="1" showInputMessage="1" showErrorMessage="1" error="Use somente números" sqref="B12:B19 D12:D19" xr:uid="{00000000-0002-0000-02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AD64"/>
  <sheetViews>
    <sheetView topLeftCell="A4" workbookViewId="0">
      <selection activeCell="C16" sqref="C16"/>
    </sheetView>
  </sheetViews>
  <sheetFormatPr defaultRowHeight="15" x14ac:dyDescent="0.25"/>
  <cols>
    <col min="1" max="2" width="31.28515625" customWidth="1"/>
    <col min="3" max="3" width="13.140625" style="6" bestFit="1" customWidth="1"/>
    <col min="4" max="4" width="4.85546875" style="6" customWidth="1"/>
    <col min="5" max="5" width="3" style="8" customWidth="1"/>
    <col min="6" max="6" width="4.42578125" style="8" customWidth="1"/>
    <col min="7" max="7" width="4.85546875" style="8" customWidth="1"/>
    <col min="8" max="8" width="0.140625" style="8" customWidth="1"/>
    <col min="9" max="9" width="14.7109375" style="10" bestFit="1" customWidth="1"/>
    <col min="10" max="10" width="3.5703125" customWidth="1"/>
  </cols>
  <sheetData>
    <row r="1" spans="1:30" ht="15" customHeight="1" x14ac:dyDescent="0.25">
      <c r="A1" s="113" t="s">
        <v>44</v>
      </c>
      <c r="B1" s="113"/>
      <c r="D1" s="242" t="s">
        <v>101</v>
      </c>
      <c r="E1" s="242"/>
      <c r="F1" s="242"/>
      <c r="G1" s="242"/>
      <c r="H1" s="242"/>
      <c r="I1" s="242"/>
      <c r="J1" s="242"/>
      <c r="K1" s="242"/>
      <c r="L1" s="81"/>
      <c r="M1" s="81"/>
      <c r="N1" s="8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15" customHeight="1" x14ac:dyDescent="0.25">
      <c r="A2" s="114" t="str">
        <f>'Informações e Resumo'!$F$9</f>
        <v>34 h 30 min</v>
      </c>
      <c r="B2" s="114"/>
      <c r="C2" s="97"/>
      <c r="D2" s="242"/>
      <c r="E2" s="242"/>
      <c r="F2" s="242"/>
      <c r="G2" s="242"/>
      <c r="H2" s="242"/>
      <c r="I2" s="242"/>
      <c r="J2" s="242"/>
      <c r="K2" s="242"/>
      <c r="L2" s="81"/>
      <c r="M2" s="81"/>
      <c r="N2" s="8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15" customHeight="1" x14ac:dyDescent="0.25">
      <c r="A3" s="114"/>
      <c r="B3" s="114"/>
      <c r="C3" s="97"/>
      <c r="D3" s="147"/>
      <c r="E3" s="147"/>
      <c r="F3" s="147"/>
      <c r="G3" s="147"/>
      <c r="H3" s="147"/>
      <c r="I3" s="147"/>
      <c r="J3" s="147"/>
      <c r="K3" s="147"/>
      <c r="L3" s="81"/>
      <c r="M3" s="81"/>
      <c r="N3" s="8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15" customHeight="1" x14ac:dyDescent="0.25">
      <c r="A4" s="35" t="s">
        <v>74</v>
      </c>
      <c r="B4" s="35"/>
      <c r="C4" s="97"/>
      <c r="D4" s="147"/>
      <c r="E4" s="147"/>
      <c r="F4" s="147"/>
      <c r="G4" s="147"/>
      <c r="H4" s="147"/>
      <c r="I4" s="147"/>
      <c r="J4" s="147"/>
      <c r="K4" s="147"/>
      <c r="L4" s="81"/>
      <c r="M4" s="81"/>
      <c r="N4" s="82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15" customHeight="1" x14ac:dyDescent="0.25">
      <c r="A5" s="34" t="s">
        <v>118</v>
      </c>
      <c r="B5" s="34"/>
      <c r="C5" s="97"/>
      <c r="D5" s="147"/>
      <c r="E5" s="147"/>
      <c r="F5" s="147"/>
      <c r="G5" s="147"/>
      <c r="H5" s="147"/>
      <c r="I5" s="147"/>
      <c r="J5" s="147"/>
      <c r="K5" s="147"/>
      <c r="L5" s="81"/>
      <c r="M5" s="81"/>
      <c r="N5" s="8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15" customHeight="1" x14ac:dyDescent="0.25">
      <c r="A6" s="110" t="s">
        <v>104</v>
      </c>
      <c r="B6" s="34"/>
      <c r="C6" s="97"/>
      <c r="D6" s="147"/>
      <c r="E6" s="147"/>
      <c r="F6" s="147"/>
      <c r="G6" s="147"/>
      <c r="H6" s="147"/>
      <c r="I6" s="147"/>
      <c r="J6" s="147"/>
      <c r="K6" s="147"/>
      <c r="L6" s="81"/>
      <c r="M6" s="81"/>
      <c r="N6" s="8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5" customHeight="1" x14ac:dyDescent="0.25">
      <c r="A7" s="33" t="s">
        <v>105</v>
      </c>
      <c r="B7" s="33"/>
      <c r="C7" s="97"/>
      <c r="D7" s="147"/>
      <c r="E7" s="147"/>
      <c r="F7" s="147"/>
      <c r="G7" s="147"/>
      <c r="H7" s="147"/>
      <c r="I7" s="147"/>
      <c r="J7" s="147"/>
      <c r="K7" s="147"/>
      <c r="L7" s="81"/>
      <c r="M7" s="81"/>
      <c r="N7" s="8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" customHeight="1" x14ac:dyDescent="0.25">
      <c r="A8" s="33"/>
      <c r="B8" s="33"/>
      <c r="C8" s="245" t="s">
        <v>64</v>
      </c>
      <c r="D8" s="245"/>
      <c r="E8" s="245"/>
      <c r="F8" s="245"/>
      <c r="G8" s="245"/>
      <c r="H8" s="76">
        <f>SUM(H12:H46)</f>
        <v>420</v>
      </c>
      <c r="I8" s="243" t="str">
        <f>INT(H8/60) &amp; " h " &amp; H8-(INT(H8/60)*60) &amp; " min"</f>
        <v>7 h 0 min</v>
      </c>
      <c r="J8" s="249" t="str">
        <f>IF(H8&gt;N8,"Tempo total superior ao máximo semanal ("&amp;N8/60&amp;"h)","")</f>
        <v/>
      </c>
      <c r="K8" s="249"/>
      <c r="L8" s="249"/>
      <c r="M8" s="249"/>
      <c r="N8" s="83">
        <f>VLOOKUP('Informações e Resumo'!$B$9,Auxiliar!$E$35:$F$37,2,FALSE)</f>
        <v>2400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" customHeight="1" x14ac:dyDescent="0.25">
      <c r="A9" s="74"/>
      <c r="B9" s="74"/>
      <c r="C9" s="246"/>
      <c r="D9" s="246"/>
      <c r="E9" s="246"/>
      <c r="F9" s="246"/>
      <c r="G9" s="246"/>
      <c r="H9" s="34"/>
      <c r="I9" s="244"/>
      <c r="J9" s="249"/>
      <c r="K9" s="249"/>
      <c r="L9" s="249"/>
      <c r="M9" s="249"/>
      <c r="N9" s="8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" customHeight="1" x14ac:dyDescent="0.25">
      <c r="A10" s="20" t="s">
        <v>193</v>
      </c>
      <c r="B10" s="267" t="s">
        <v>173</v>
      </c>
      <c r="C10" s="267" t="s">
        <v>30</v>
      </c>
      <c r="D10" s="269" t="s">
        <v>73</v>
      </c>
      <c r="E10" s="270"/>
      <c r="F10" s="270"/>
      <c r="G10" s="270"/>
      <c r="H10" s="21"/>
      <c r="I10" s="277" t="s">
        <v>71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x14ac:dyDescent="0.25">
      <c r="A11" s="22" t="s">
        <v>3</v>
      </c>
      <c r="B11" s="276"/>
      <c r="C11" s="268"/>
      <c r="D11" s="272"/>
      <c r="E11" s="273"/>
      <c r="F11" s="273"/>
      <c r="G11" s="273"/>
      <c r="H11" s="23"/>
      <c r="I11" s="278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x14ac:dyDescent="0.25">
      <c r="A12" s="98" t="s">
        <v>29</v>
      </c>
      <c r="B12" s="177"/>
      <c r="C12" s="179">
        <v>1</v>
      </c>
      <c r="D12" s="99">
        <v>1</v>
      </c>
      <c r="E12" s="100" t="str">
        <f>IF($A12="",""," h")</f>
        <v xml:space="preserve"> h</v>
      </c>
      <c r="F12" s="101">
        <v>0</v>
      </c>
      <c r="G12" s="100" t="str">
        <f>IF($A12="",""," min")</f>
        <v xml:space="preserve"> min</v>
      </c>
      <c r="H12" s="100">
        <f>(60*D12+F12)*C12</f>
        <v>60</v>
      </c>
      <c r="I12" s="102" t="str">
        <f>IF($A12="","",INT(H12/60) &amp; " h " &amp; H12-(INT(H12/60)*60) &amp; " min")</f>
        <v>1 h 0 min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x14ac:dyDescent="0.25">
      <c r="A13" s="103" t="s">
        <v>14</v>
      </c>
      <c r="B13" s="178"/>
      <c r="C13" s="180">
        <v>2</v>
      </c>
      <c r="D13" s="67">
        <v>2</v>
      </c>
      <c r="E13" s="100" t="str">
        <f t="shared" ref="E13:E46" si="0">IF($A13="",""," h")</f>
        <v xml:space="preserve"> h</v>
      </c>
      <c r="F13" s="71">
        <v>0</v>
      </c>
      <c r="G13" s="100" t="str">
        <f t="shared" ref="G13:G46" si="1">IF($A13="",""," min")</f>
        <v xml:space="preserve"> min</v>
      </c>
      <c r="H13" s="100">
        <f t="shared" ref="H13:H46" si="2">(60*D13+F13)*C13</f>
        <v>240</v>
      </c>
      <c r="I13" s="102" t="str">
        <f t="shared" ref="I13:I46" si="3">IF($A13="","",INT(H13/60) &amp; " h " &amp; H13-(INT(H13/60)*60) &amp; " min")</f>
        <v>4 h 0 min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x14ac:dyDescent="0.25">
      <c r="A14" s="103" t="s">
        <v>156</v>
      </c>
      <c r="B14" s="178"/>
      <c r="C14" s="180">
        <v>1</v>
      </c>
      <c r="D14" s="67">
        <v>2</v>
      </c>
      <c r="E14" s="100" t="str">
        <f t="shared" si="0"/>
        <v xml:space="preserve"> h</v>
      </c>
      <c r="F14" s="71">
        <v>0</v>
      </c>
      <c r="G14" s="100" t="str">
        <f t="shared" si="1"/>
        <v xml:space="preserve"> min</v>
      </c>
      <c r="H14" s="100">
        <f t="shared" si="2"/>
        <v>120</v>
      </c>
      <c r="I14" s="102" t="str">
        <f t="shared" si="3"/>
        <v>2 h 0 min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x14ac:dyDescent="0.25">
      <c r="A15" s="103"/>
      <c r="B15" s="178"/>
      <c r="C15" s="180"/>
      <c r="D15" s="67"/>
      <c r="E15" s="100" t="str">
        <f t="shared" si="0"/>
        <v/>
      </c>
      <c r="F15" s="71"/>
      <c r="G15" s="100" t="str">
        <f t="shared" si="1"/>
        <v/>
      </c>
      <c r="H15" s="100">
        <f t="shared" si="2"/>
        <v>0</v>
      </c>
      <c r="I15" s="102" t="str">
        <f t="shared" si="3"/>
        <v/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x14ac:dyDescent="0.25">
      <c r="A16" s="103"/>
      <c r="B16" s="178"/>
      <c r="C16" s="180"/>
      <c r="D16" s="67"/>
      <c r="E16" s="100" t="str">
        <f t="shared" si="0"/>
        <v/>
      </c>
      <c r="F16" s="71"/>
      <c r="G16" s="100" t="str">
        <f t="shared" si="1"/>
        <v/>
      </c>
      <c r="H16" s="100">
        <f t="shared" si="2"/>
        <v>0</v>
      </c>
      <c r="I16" s="102" t="str">
        <f t="shared" si="3"/>
        <v/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x14ac:dyDescent="0.25">
      <c r="A17" s="103"/>
      <c r="B17" s="178"/>
      <c r="C17" s="180"/>
      <c r="D17" s="67"/>
      <c r="E17" s="100" t="str">
        <f t="shared" si="0"/>
        <v/>
      </c>
      <c r="F17" s="71"/>
      <c r="G17" s="100" t="str">
        <f t="shared" si="1"/>
        <v/>
      </c>
      <c r="H17" s="100">
        <f t="shared" si="2"/>
        <v>0</v>
      </c>
      <c r="I17" s="102" t="str">
        <f t="shared" si="3"/>
        <v/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25">
      <c r="A18" s="103"/>
      <c r="B18" s="178"/>
      <c r="C18" s="180"/>
      <c r="D18" s="67"/>
      <c r="E18" s="100" t="str">
        <f t="shared" si="0"/>
        <v/>
      </c>
      <c r="F18" s="71"/>
      <c r="G18" s="100" t="str">
        <f t="shared" si="1"/>
        <v/>
      </c>
      <c r="H18" s="100">
        <f t="shared" si="2"/>
        <v>0</v>
      </c>
      <c r="I18" s="102" t="str">
        <f t="shared" si="3"/>
        <v/>
      </c>
      <c r="J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25">
      <c r="A19" s="103"/>
      <c r="B19" s="178"/>
      <c r="C19" s="180"/>
      <c r="D19" s="67"/>
      <c r="E19" s="100" t="str">
        <f t="shared" si="0"/>
        <v/>
      </c>
      <c r="F19" s="71"/>
      <c r="G19" s="100" t="str">
        <f t="shared" si="1"/>
        <v/>
      </c>
      <c r="H19" s="100">
        <f t="shared" si="2"/>
        <v>0</v>
      </c>
      <c r="I19" s="102" t="str">
        <f t="shared" si="3"/>
        <v/>
      </c>
      <c r="J19" s="33"/>
      <c r="K19" s="3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x14ac:dyDescent="0.25">
      <c r="A20" s="103"/>
      <c r="B20" s="178"/>
      <c r="C20" s="180"/>
      <c r="D20" s="67"/>
      <c r="E20" s="100" t="str">
        <f t="shared" si="0"/>
        <v/>
      </c>
      <c r="F20" s="71"/>
      <c r="G20" s="100" t="str">
        <f t="shared" si="1"/>
        <v/>
      </c>
      <c r="H20" s="100">
        <f t="shared" si="2"/>
        <v>0</v>
      </c>
      <c r="I20" s="102" t="str">
        <f t="shared" si="3"/>
        <v/>
      </c>
      <c r="J20" s="33"/>
      <c r="K20" s="3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x14ac:dyDescent="0.25">
      <c r="A21" s="103"/>
      <c r="B21" s="178"/>
      <c r="C21" s="180"/>
      <c r="D21" s="67"/>
      <c r="E21" s="100" t="str">
        <f t="shared" si="0"/>
        <v/>
      </c>
      <c r="F21" s="71"/>
      <c r="G21" s="100" t="str">
        <f t="shared" si="1"/>
        <v/>
      </c>
      <c r="H21" s="100">
        <f t="shared" si="2"/>
        <v>0</v>
      </c>
      <c r="I21" s="102" t="str">
        <f t="shared" si="3"/>
        <v/>
      </c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25">
      <c r="A22" s="103"/>
      <c r="B22" s="178"/>
      <c r="C22" s="180"/>
      <c r="D22" s="67"/>
      <c r="E22" s="100" t="str">
        <f t="shared" si="0"/>
        <v/>
      </c>
      <c r="F22" s="71"/>
      <c r="G22" s="100" t="str">
        <f t="shared" si="1"/>
        <v/>
      </c>
      <c r="H22" s="100">
        <f t="shared" si="2"/>
        <v>0</v>
      </c>
      <c r="I22" s="102" t="str">
        <f t="shared" si="3"/>
        <v/>
      </c>
      <c r="J22" s="33"/>
      <c r="K22" s="34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x14ac:dyDescent="0.25">
      <c r="A23" s="103"/>
      <c r="B23" s="178"/>
      <c r="C23" s="180"/>
      <c r="D23" s="67"/>
      <c r="E23" s="100" t="str">
        <f t="shared" si="0"/>
        <v/>
      </c>
      <c r="F23" s="71"/>
      <c r="G23" s="100" t="str">
        <f t="shared" si="1"/>
        <v/>
      </c>
      <c r="H23" s="100">
        <f t="shared" si="2"/>
        <v>0</v>
      </c>
      <c r="I23" s="102" t="str">
        <f t="shared" si="3"/>
        <v/>
      </c>
      <c r="J23" s="33"/>
      <c r="K23" s="34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x14ac:dyDescent="0.25">
      <c r="A24" s="103"/>
      <c r="B24" s="178"/>
      <c r="C24" s="180"/>
      <c r="D24" s="67"/>
      <c r="E24" s="100" t="str">
        <f t="shared" si="0"/>
        <v/>
      </c>
      <c r="F24" s="71"/>
      <c r="G24" s="100" t="str">
        <f t="shared" si="1"/>
        <v/>
      </c>
      <c r="H24" s="100">
        <f t="shared" si="2"/>
        <v>0</v>
      </c>
      <c r="I24" s="102" t="str">
        <f t="shared" si="3"/>
        <v/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x14ac:dyDescent="0.25">
      <c r="A25" s="103"/>
      <c r="B25" s="178"/>
      <c r="C25" s="180"/>
      <c r="D25" s="67"/>
      <c r="E25" s="100" t="str">
        <f t="shared" si="0"/>
        <v/>
      </c>
      <c r="F25" s="71"/>
      <c r="G25" s="100" t="str">
        <f t="shared" si="1"/>
        <v/>
      </c>
      <c r="H25" s="100">
        <f t="shared" si="2"/>
        <v>0</v>
      </c>
      <c r="I25" s="102" t="str">
        <f t="shared" si="3"/>
        <v/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x14ac:dyDescent="0.25">
      <c r="A26" s="103"/>
      <c r="B26" s="178"/>
      <c r="C26" s="180"/>
      <c r="D26" s="67"/>
      <c r="E26" s="100" t="str">
        <f t="shared" si="0"/>
        <v/>
      </c>
      <c r="F26" s="71"/>
      <c r="G26" s="100" t="str">
        <f t="shared" si="1"/>
        <v/>
      </c>
      <c r="H26" s="100">
        <f t="shared" si="2"/>
        <v>0</v>
      </c>
      <c r="I26" s="102" t="str">
        <f t="shared" si="3"/>
        <v/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x14ac:dyDescent="0.25">
      <c r="A27" s="103"/>
      <c r="B27" s="178"/>
      <c r="C27" s="180"/>
      <c r="D27" s="67"/>
      <c r="E27" s="100" t="str">
        <f t="shared" si="0"/>
        <v/>
      </c>
      <c r="F27" s="71"/>
      <c r="G27" s="100" t="str">
        <f t="shared" si="1"/>
        <v/>
      </c>
      <c r="H27" s="100">
        <f t="shared" si="2"/>
        <v>0</v>
      </c>
      <c r="I27" s="102" t="str">
        <f t="shared" si="3"/>
        <v/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25">
      <c r="A28" s="103"/>
      <c r="B28" s="178"/>
      <c r="C28" s="180"/>
      <c r="D28" s="67"/>
      <c r="E28" s="100" t="str">
        <f t="shared" si="0"/>
        <v/>
      </c>
      <c r="F28" s="71"/>
      <c r="G28" s="100" t="str">
        <f t="shared" si="1"/>
        <v/>
      </c>
      <c r="H28" s="100">
        <f t="shared" si="2"/>
        <v>0</v>
      </c>
      <c r="I28" s="102" t="str">
        <f t="shared" si="3"/>
        <v/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103"/>
      <c r="B29" s="178"/>
      <c r="C29" s="180"/>
      <c r="D29" s="67"/>
      <c r="E29" s="100" t="str">
        <f t="shared" si="0"/>
        <v/>
      </c>
      <c r="F29" s="71"/>
      <c r="G29" s="100" t="str">
        <f t="shared" si="1"/>
        <v/>
      </c>
      <c r="H29" s="100">
        <f t="shared" si="2"/>
        <v>0</v>
      </c>
      <c r="I29" s="102" t="str">
        <f t="shared" si="3"/>
        <v/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103"/>
      <c r="B30" s="178"/>
      <c r="C30" s="180"/>
      <c r="D30" s="67"/>
      <c r="E30" s="100" t="str">
        <f t="shared" si="0"/>
        <v/>
      </c>
      <c r="F30" s="71"/>
      <c r="G30" s="100" t="str">
        <f t="shared" si="1"/>
        <v/>
      </c>
      <c r="H30" s="100">
        <f t="shared" si="2"/>
        <v>0</v>
      </c>
      <c r="I30" s="102" t="str">
        <f t="shared" si="3"/>
        <v/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x14ac:dyDescent="0.25">
      <c r="A31" s="103"/>
      <c r="B31" s="178"/>
      <c r="C31" s="180"/>
      <c r="D31" s="67"/>
      <c r="E31" s="100" t="str">
        <f t="shared" si="0"/>
        <v/>
      </c>
      <c r="F31" s="71"/>
      <c r="G31" s="100" t="str">
        <f t="shared" si="1"/>
        <v/>
      </c>
      <c r="H31" s="100">
        <f t="shared" si="2"/>
        <v>0</v>
      </c>
      <c r="I31" s="102" t="str">
        <f t="shared" si="3"/>
        <v/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x14ac:dyDescent="0.25">
      <c r="A32" s="103"/>
      <c r="B32" s="178"/>
      <c r="C32" s="180"/>
      <c r="D32" s="67"/>
      <c r="E32" s="100" t="str">
        <f t="shared" si="0"/>
        <v/>
      </c>
      <c r="F32" s="71"/>
      <c r="G32" s="100" t="str">
        <f t="shared" si="1"/>
        <v/>
      </c>
      <c r="H32" s="100">
        <f t="shared" si="2"/>
        <v>0</v>
      </c>
      <c r="I32" s="102" t="str">
        <f t="shared" si="3"/>
        <v/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x14ac:dyDescent="0.25">
      <c r="A33" s="103"/>
      <c r="B33" s="178"/>
      <c r="C33" s="180"/>
      <c r="D33" s="67"/>
      <c r="E33" s="100" t="str">
        <f t="shared" si="0"/>
        <v/>
      </c>
      <c r="F33" s="71"/>
      <c r="G33" s="100" t="str">
        <f t="shared" si="1"/>
        <v/>
      </c>
      <c r="H33" s="100">
        <f t="shared" si="2"/>
        <v>0</v>
      </c>
      <c r="I33" s="102" t="str">
        <f t="shared" si="3"/>
        <v/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x14ac:dyDescent="0.25">
      <c r="A34" s="103"/>
      <c r="B34" s="178"/>
      <c r="C34" s="180"/>
      <c r="D34" s="67"/>
      <c r="E34" s="100" t="str">
        <f t="shared" si="0"/>
        <v/>
      </c>
      <c r="F34" s="71"/>
      <c r="G34" s="100" t="str">
        <f t="shared" si="1"/>
        <v/>
      </c>
      <c r="H34" s="100">
        <f t="shared" si="2"/>
        <v>0</v>
      </c>
      <c r="I34" s="102" t="str">
        <f t="shared" si="3"/>
        <v/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103"/>
      <c r="B35" s="178"/>
      <c r="C35" s="180"/>
      <c r="D35" s="67"/>
      <c r="E35" s="100" t="str">
        <f t="shared" si="0"/>
        <v/>
      </c>
      <c r="F35" s="71"/>
      <c r="G35" s="100" t="str">
        <f t="shared" si="1"/>
        <v/>
      </c>
      <c r="H35" s="100">
        <f t="shared" si="2"/>
        <v>0</v>
      </c>
      <c r="I35" s="102" t="str">
        <f t="shared" si="3"/>
        <v/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x14ac:dyDescent="0.25">
      <c r="A36" s="103"/>
      <c r="B36" s="178"/>
      <c r="C36" s="180"/>
      <c r="D36" s="67"/>
      <c r="E36" s="100" t="str">
        <f t="shared" si="0"/>
        <v/>
      </c>
      <c r="F36" s="71"/>
      <c r="G36" s="100" t="str">
        <f t="shared" si="1"/>
        <v/>
      </c>
      <c r="H36" s="100">
        <f t="shared" si="2"/>
        <v>0</v>
      </c>
      <c r="I36" s="102" t="str">
        <f t="shared" si="3"/>
        <v/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5">
      <c r="A37" s="103"/>
      <c r="B37" s="178"/>
      <c r="C37" s="180"/>
      <c r="D37" s="67"/>
      <c r="E37" s="100" t="str">
        <f t="shared" si="0"/>
        <v/>
      </c>
      <c r="F37" s="71"/>
      <c r="G37" s="100" t="str">
        <f t="shared" si="1"/>
        <v/>
      </c>
      <c r="H37" s="100">
        <f t="shared" si="2"/>
        <v>0</v>
      </c>
      <c r="I37" s="102" t="str">
        <f t="shared" si="3"/>
        <v/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103"/>
      <c r="B38" s="178"/>
      <c r="C38" s="180"/>
      <c r="D38" s="67"/>
      <c r="E38" s="100" t="str">
        <f t="shared" si="0"/>
        <v/>
      </c>
      <c r="F38" s="71"/>
      <c r="G38" s="100" t="str">
        <f t="shared" si="1"/>
        <v/>
      </c>
      <c r="H38" s="100">
        <f t="shared" si="2"/>
        <v>0</v>
      </c>
      <c r="I38" s="102" t="str">
        <f t="shared" si="3"/>
        <v/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x14ac:dyDescent="0.25">
      <c r="A39" s="103"/>
      <c r="B39" s="178"/>
      <c r="C39" s="180"/>
      <c r="D39" s="67"/>
      <c r="E39" s="100" t="str">
        <f t="shared" si="0"/>
        <v/>
      </c>
      <c r="F39" s="71"/>
      <c r="G39" s="100" t="str">
        <f t="shared" si="1"/>
        <v/>
      </c>
      <c r="H39" s="100">
        <f t="shared" si="2"/>
        <v>0</v>
      </c>
      <c r="I39" s="102" t="str">
        <f t="shared" si="3"/>
        <v/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30" x14ac:dyDescent="0.25">
      <c r="A40" s="103"/>
      <c r="B40" s="178"/>
      <c r="C40" s="180"/>
      <c r="D40" s="67"/>
      <c r="E40" s="100" t="str">
        <f t="shared" si="0"/>
        <v/>
      </c>
      <c r="F40" s="71"/>
      <c r="G40" s="100" t="str">
        <f t="shared" si="1"/>
        <v/>
      </c>
      <c r="H40" s="100">
        <f t="shared" si="2"/>
        <v>0</v>
      </c>
      <c r="I40" s="102" t="str">
        <f t="shared" si="3"/>
        <v/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30" x14ac:dyDescent="0.25">
      <c r="A41" s="103"/>
      <c r="B41" s="178"/>
      <c r="C41" s="180"/>
      <c r="D41" s="67"/>
      <c r="E41" s="100" t="str">
        <f t="shared" si="0"/>
        <v/>
      </c>
      <c r="F41" s="71"/>
      <c r="G41" s="100" t="str">
        <f t="shared" si="1"/>
        <v/>
      </c>
      <c r="H41" s="100">
        <f t="shared" si="2"/>
        <v>0</v>
      </c>
      <c r="I41" s="102" t="str">
        <f t="shared" si="3"/>
        <v/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30" x14ac:dyDescent="0.25">
      <c r="A42" s="103"/>
      <c r="B42" s="178"/>
      <c r="C42" s="180"/>
      <c r="D42" s="67"/>
      <c r="E42" s="100" t="str">
        <f t="shared" si="0"/>
        <v/>
      </c>
      <c r="F42" s="71"/>
      <c r="G42" s="100" t="str">
        <f t="shared" si="1"/>
        <v/>
      </c>
      <c r="H42" s="100">
        <f t="shared" si="2"/>
        <v>0</v>
      </c>
      <c r="I42" s="102" t="str">
        <f t="shared" si="3"/>
        <v/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30" x14ac:dyDescent="0.25">
      <c r="A43" s="103"/>
      <c r="B43" s="178"/>
      <c r="C43" s="180"/>
      <c r="D43" s="67"/>
      <c r="E43" s="100" t="str">
        <f t="shared" si="0"/>
        <v/>
      </c>
      <c r="F43" s="71"/>
      <c r="G43" s="100" t="str">
        <f t="shared" si="1"/>
        <v/>
      </c>
      <c r="H43" s="100">
        <f t="shared" si="2"/>
        <v>0</v>
      </c>
      <c r="I43" s="102" t="str">
        <f t="shared" si="3"/>
        <v/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30" x14ac:dyDescent="0.25">
      <c r="A44" s="103"/>
      <c r="B44" s="178"/>
      <c r="C44" s="180"/>
      <c r="D44" s="67"/>
      <c r="E44" s="100" t="str">
        <f t="shared" si="0"/>
        <v/>
      </c>
      <c r="F44" s="71"/>
      <c r="G44" s="100" t="str">
        <f t="shared" si="1"/>
        <v/>
      </c>
      <c r="H44" s="100">
        <f t="shared" si="2"/>
        <v>0</v>
      </c>
      <c r="I44" s="102" t="str">
        <f t="shared" si="3"/>
        <v/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30" x14ac:dyDescent="0.25">
      <c r="A45" s="103"/>
      <c r="B45" s="178"/>
      <c r="C45" s="180"/>
      <c r="D45" s="67"/>
      <c r="E45" s="100" t="str">
        <f t="shared" si="0"/>
        <v/>
      </c>
      <c r="F45" s="71"/>
      <c r="G45" s="100" t="str">
        <f t="shared" si="1"/>
        <v/>
      </c>
      <c r="H45" s="100">
        <f t="shared" si="2"/>
        <v>0</v>
      </c>
      <c r="I45" s="102" t="str">
        <f t="shared" si="3"/>
        <v/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30" x14ac:dyDescent="0.25">
      <c r="A46" s="104"/>
      <c r="B46" s="182"/>
      <c r="C46" s="181"/>
      <c r="D46" s="105"/>
      <c r="E46" s="100" t="str">
        <f t="shared" si="0"/>
        <v/>
      </c>
      <c r="F46" s="90"/>
      <c r="G46" s="100" t="str">
        <f t="shared" si="1"/>
        <v/>
      </c>
      <c r="H46" s="100">
        <f t="shared" si="2"/>
        <v>0</v>
      </c>
      <c r="I46" s="102" t="str">
        <f t="shared" si="3"/>
        <v/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30" x14ac:dyDescent="0.25">
      <c r="A47" s="33"/>
      <c r="B47" s="33"/>
      <c r="C47" s="84"/>
      <c r="D47" s="84"/>
      <c r="E47" s="82"/>
      <c r="F47" s="82"/>
      <c r="G47" s="82"/>
      <c r="H47" s="82"/>
      <c r="I47" s="85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30" x14ac:dyDescent="0.25">
      <c r="A48" s="33"/>
      <c r="B48" s="33"/>
      <c r="C48" s="84"/>
      <c r="D48" s="84"/>
      <c r="E48" s="82"/>
      <c r="F48" s="82"/>
      <c r="G48" s="82"/>
      <c r="H48" s="82"/>
      <c r="I48" s="85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x14ac:dyDescent="0.25">
      <c r="C49" s="84"/>
      <c r="D49" s="84"/>
      <c r="E49" s="82"/>
      <c r="F49" s="82"/>
      <c r="G49" s="82"/>
      <c r="H49" s="82"/>
      <c r="I49" s="85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x14ac:dyDescent="0.25">
      <c r="A50" s="33"/>
      <c r="B50" s="33"/>
      <c r="C50" s="84"/>
      <c r="D50" s="84"/>
      <c r="E50" s="82"/>
      <c r="F50" s="82"/>
      <c r="G50" s="82"/>
      <c r="H50" s="82"/>
      <c r="I50" s="85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29" x14ac:dyDescent="0.25">
      <c r="A51" s="33"/>
      <c r="B51" s="33"/>
      <c r="C51" s="84"/>
      <c r="D51" s="84"/>
      <c r="E51" s="82"/>
      <c r="F51" s="82"/>
      <c r="G51" s="82"/>
      <c r="H51" s="82"/>
      <c r="I51" s="85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29" x14ac:dyDescent="0.25">
      <c r="A52" s="33"/>
      <c r="B52" s="33"/>
      <c r="C52" s="84"/>
      <c r="D52" s="84"/>
      <c r="E52" s="82"/>
      <c r="F52" s="82"/>
      <c r="G52" s="82"/>
      <c r="H52" s="82"/>
      <c r="I52" s="85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29" x14ac:dyDescent="0.25">
      <c r="A53" s="33"/>
      <c r="B53" s="33"/>
      <c r="C53" s="84"/>
      <c r="D53" s="84"/>
      <c r="E53" s="82"/>
      <c r="F53" s="82"/>
      <c r="G53" s="82"/>
      <c r="H53" s="82"/>
      <c r="I53" s="85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spans="1:29" x14ac:dyDescent="0.25">
      <c r="A54" s="33"/>
      <c r="B54" s="33"/>
      <c r="C54" s="84"/>
      <c r="D54" s="84"/>
      <c r="E54" s="82"/>
      <c r="F54" s="82"/>
      <c r="G54" s="82"/>
      <c r="H54" s="82"/>
      <c r="I54" s="85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spans="1:29" x14ac:dyDescent="0.25">
      <c r="A55" s="33"/>
      <c r="B55" s="33"/>
      <c r="C55" s="84"/>
      <c r="D55" s="84"/>
      <c r="E55" s="82"/>
      <c r="F55" s="82"/>
      <c r="G55" s="82"/>
      <c r="H55" s="82"/>
      <c r="I55" s="85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1:29" x14ac:dyDescent="0.25">
      <c r="A56" s="33"/>
      <c r="B56" s="33"/>
      <c r="C56" s="84"/>
      <c r="D56" s="84"/>
      <c r="E56" s="82"/>
      <c r="F56" s="82"/>
      <c r="G56" s="82"/>
      <c r="H56" s="82"/>
      <c r="I56" s="85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29" x14ac:dyDescent="0.25">
      <c r="A57" s="33"/>
      <c r="B57" s="33"/>
      <c r="C57" s="84"/>
      <c r="D57" s="84"/>
      <c r="E57" s="82"/>
      <c r="F57" s="82"/>
      <c r="G57" s="82"/>
      <c r="H57" s="82"/>
      <c r="I57" s="85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29" x14ac:dyDescent="0.25">
      <c r="A58" s="33"/>
      <c r="B58" s="33"/>
      <c r="C58" s="84"/>
      <c r="D58" s="84"/>
      <c r="E58" s="82"/>
      <c r="F58" s="82"/>
      <c r="G58" s="82"/>
      <c r="H58" s="82"/>
      <c r="I58" s="85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spans="1:29" x14ac:dyDescent="0.25">
      <c r="A59" s="33"/>
      <c r="B59" s="33"/>
      <c r="C59" s="84"/>
      <c r="D59" s="84"/>
      <c r="E59" s="82"/>
      <c r="F59" s="82"/>
      <c r="G59" s="82"/>
      <c r="H59" s="82"/>
      <c r="I59" s="85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1:29" x14ac:dyDescent="0.25">
      <c r="A60" s="33"/>
      <c r="B60" s="33"/>
      <c r="C60" s="84"/>
      <c r="D60" s="84"/>
      <c r="E60" s="82"/>
      <c r="F60" s="82"/>
      <c r="G60" s="82"/>
      <c r="H60" s="82"/>
      <c r="I60" s="85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1:29" x14ac:dyDescent="0.25">
      <c r="A61" s="33"/>
      <c r="B61" s="33"/>
      <c r="C61" s="84"/>
      <c r="D61" s="84"/>
      <c r="E61" s="82"/>
      <c r="F61" s="82"/>
      <c r="G61" s="82"/>
      <c r="H61" s="82"/>
      <c r="I61" s="85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1:29" x14ac:dyDescent="0.25">
      <c r="A62" s="33"/>
      <c r="B62" s="33"/>
      <c r="C62" s="84"/>
      <c r="D62" s="84"/>
      <c r="E62" s="82"/>
      <c r="F62" s="82"/>
      <c r="G62" s="82"/>
      <c r="H62" s="82"/>
      <c r="I62" s="85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spans="1:29" x14ac:dyDescent="0.25">
      <c r="A63" s="33"/>
      <c r="B63" s="33"/>
      <c r="C63" s="84"/>
      <c r="D63" s="84"/>
      <c r="E63" s="82"/>
      <c r="F63" s="82"/>
      <c r="G63" s="82"/>
      <c r="H63" s="82"/>
      <c r="I63" s="85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spans="1:29" x14ac:dyDescent="0.25"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</sheetData>
  <sheetProtection algorithmName="SHA-512" hashValue="7mnwmcFKiiwNdnVUrfHKqyF+zpsnfRq6d+W6Iij16x0zU+3ybo2S3ucD4ADZKXXA+XmBDMPjgQHsBNSXkRi4Zg==" saltValue="aGupNQna/A1hTXYbMP+7Fw==" spinCount="100000" sheet="1" objects="1" scenarios="1" selectLockedCells="1"/>
  <mergeCells count="8">
    <mergeCell ref="B10:B11"/>
    <mergeCell ref="D1:K2"/>
    <mergeCell ref="J8:M9"/>
    <mergeCell ref="D10:G11"/>
    <mergeCell ref="C10:C11"/>
    <mergeCell ref="I10:I11"/>
    <mergeCell ref="I8:I9"/>
    <mergeCell ref="C8:G9"/>
  </mergeCells>
  <conditionalFormatting sqref="I8:J8">
    <cfRule type="expression" dxfId="9" priority="19">
      <formula>$H8&gt;$N8</formula>
    </cfRule>
  </conditionalFormatting>
  <dataValidations count="3">
    <dataValidation type="list" allowBlank="1" showInputMessage="1" showErrorMessage="1" sqref="A12:A46" xr:uid="{00000000-0002-0000-0300-000000000000}">
      <formula1>Orientação_Tipo</formula1>
    </dataValidation>
    <dataValidation type="whole" allowBlank="1" showInputMessage="1" showErrorMessage="1" error="Use somente números" sqref="C12:C46" xr:uid="{00000000-0002-0000-0300-000001000000}">
      <formula1>1</formula1>
      <formula2>30</formula2>
    </dataValidation>
    <dataValidation type="whole" allowBlank="1" showInputMessage="1" showErrorMessage="1" error="Use somente números" sqref="F12:F46 D12:D46" xr:uid="{00000000-0002-0000-03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AB63"/>
  <sheetViews>
    <sheetView topLeftCell="A13" zoomScaleNormal="100" workbookViewId="0">
      <selection activeCell="D30" sqref="D30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140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42" t="s">
        <v>108</v>
      </c>
      <c r="C1" s="242"/>
      <c r="D1" s="242"/>
      <c r="E1" s="242"/>
      <c r="F1" s="242"/>
      <c r="G1" s="242"/>
      <c r="H1" s="242"/>
      <c r="I1" s="24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34 h 30 min</v>
      </c>
      <c r="B2" s="242"/>
      <c r="C2" s="242"/>
      <c r="D2" s="242"/>
      <c r="E2" s="242"/>
      <c r="F2" s="242"/>
      <c r="G2" s="242"/>
      <c r="H2" s="242"/>
      <c r="I2" s="24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45" t="s">
        <v>76</v>
      </c>
      <c r="B8" s="111">
        <f>SUM(F12:F41)</f>
        <v>150</v>
      </c>
      <c r="C8" s="243" t="str">
        <f>INT(B8/60) &amp; " h " &amp; B8-(INT(B8/60)*60) &amp; " min"</f>
        <v>2 h 30 min</v>
      </c>
      <c r="D8" s="243"/>
      <c r="E8" s="243"/>
      <c r="F8" s="249" t="str">
        <f>IF(B8&gt;K9,"Tempo total superior ao máximo semanal ("&amp;K9/60&amp;"h)","")</f>
        <v/>
      </c>
      <c r="G8" s="249"/>
      <c r="H8" s="249"/>
      <c r="I8" s="249"/>
      <c r="J8" s="249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46"/>
      <c r="B9" s="77"/>
      <c r="C9" s="244"/>
      <c r="D9" s="244"/>
      <c r="E9" s="244"/>
      <c r="F9" s="249"/>
      <c r="G9" s="249"/>
      <c r="H9" s="249"/>
      <c r="I9" s="249"/>
      <c r="J9" s="249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2</v>
      </c>
      <c r="C12" s="26" t="str">
        <f>IF(A12="",""," h")</f>
        <v xml:space="preserve"> h</v>
      </c>
      <c r="D12" s="71">
        <v>30</v>
      </c>
      <c r="E12" s="26" t="str">
        <f>IF(A12="",""," min")</f>
        <v xml:space="preserve"> min</v>
      </c>
      <c r="F12" s="45">
        <f>(B12*60+D12)</f>
        <v>150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41" si="0">IF(A13="",""," h")</f>
        <v/>
      </c>
      <c r="D13" s="71"/>
      <c r="E13" s="26" t="str">
        <f t="shared" ref="E13:E41" si="1">IF(A13="",""," min")</f>
        <v/>
      </c>
      <c r="F13" s="45">
        <f t="shared" ref="F13:F15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ref="F16:F41" si="3">(B16*60+D16)</f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3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>(B18*60+D18)</f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08"/>
      <c r="B19" s="67"/>
      <c r="C19" s="26" t="str">
        <f t="shared" si="0"/>
        <v/>
      </c>
      <c r="D19" s="71"/>
      <c r="E19" s="26" t="str">
        <f t="shared" si="1"/>
        <v/>
      </c>
      <c r="F19" s="4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108"/>
      <c r="B20" s="67"/>
      <c r="C20" s="26" t="str">
        <f t="shared" si="0"/>
        <v/>
      </c>
      <c r="D20" s="71"/>
      <c r="E20" s="26" t="str">
        <f t="shared" si="1"/>
        <v/>
      </c>
      <c r="F20" s="45">
        <f t="shared" si="3"/>
        <v>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108"/>
      <c r="B21" s="67"/>
      <c r="C21" s="26" t="str">
        <f t="shared" si="0"/>
        <v/>
      </c>
      <c r="D21" s="71"/>
      <c r="E21" s="26" t="str">
        <f t="shared" si="1"/>
        <v/>
      </c>
      <c r="F21" s="45">
        <f t="shared" si="3"/>
        <v>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108"/>
      <c r="B22" s="67"/>
      <c r="C22" s="26" t="str">
        <f t="shared" si="0"/>
        <v/>
      </c>
      <c r="D22" s="71"/>
      <c r="E22" s="26" t="str">
        <f t="shared" si="1"/>
        <v/>
      </c>
      <c r="F22" s="45">
        <f t="shared" si="3"/>
        <v>0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108"/>
      <c r="B23" s="67"/>
      <c r="C23" s="26" t="str">
        <f t="shared" si="0"/>
        <v/>
      </c>
      <c r="D23" s="71"/>
      <c r="E23" s="26" t="str">
        <f t="shared" si="1"/>
        <v/>
      </c>
      <c r="F23" s="45">
        <f t="shared" si="3"/>
        <v>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108"/>
      <c r="B24" s="67"/>
      <c r="C24" s="26" t="str">
        <f t="shared" si="0"/>
        <v/>
      </c>
      <c r="D24" s="71"/>
      <c r="E24" s="26" t="str">
        <f t="shared" si="1"/>
        <v/>
      </c>
      <c r="F24" s="45">
        <f t="shared" si="3"/>
        <v>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108"/>
      <c r="B25" s="67"/>
      <c r="C25" s="26" t="str">
        <f t="shared" si="0"/>
        <v/>
      </c>
      <c r="D25" s="71"/>
      <c r="E25" s="26" t="str">
        <f t="shared" si="1"/>
        <v/>
      </c>
      <c r="F25" s="45">
        <f t="shared" si="3"/>
        <v>0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108"/>
      <c r="B26" s="67"/>
      <c r="C26" s="26" t="str">
        <f t="shared" si="0"/>
        <v/>
      </c>
      <c r="D26" s="71"/>
      <c r="E26" s="26" t="str">
        <f t="shared" si="1"/>
        <v/>
      </c>
      <c r="F26" s="45">
        <f t="shared" si="3"/>
        <v>0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108"/>
      <c r="B27" s="67"/>
      <c r="C27" s="26" t="str">
        <f t="shared" si="0"/>
        <v/>
      </c>
      <c r="D27" s="71"/>
      <c r="E27" s="26" t="str">
        <f t="shared" si="1"/>
        <v/>
      </c>
      <c r="F27" s="45">
        <f t="shared" si="3"/>
        <v>0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108"/>
      <c r="B28" s="67"/>
      <c r="C28" s="26" t="str">
        <f t="shared" si="0"/>
        <v/>
      </c>
      <c r="D28" s="71"/>
      <c r="E28" s="26" t="str">
        <f t="shared" si="1"/>
        <v/>
      </c>
      <c r="F28" s="45">
        <f t="shared" si="3"/>
        <v>0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108"/>
      <c r="B29" s="67"/>
      <c r="C29" s="26" t="str">
        <f t="shared" si="0"/>
        <v/>
      </c>
      <c r="D29" s="71"/>
      <c r="E29" s="26" t="str">
        <f t="shared" si="1"/>
        <v/>
      </c>
      <c r="F29" s="45">
        <f t="shared" si="3"/>
        <v>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108"/>
      <c r="B30" s="67"/>
      <c r="C30" s="26" t="str">
        <f t="shared" si="0"/>
        <v/>
      </c>
      <c r="D30" s="71"/>
      <c r="E30" s="26" t="str">
        <f t="shared" si="1"/>
        <v/>
      </c>
      <c r="F30" s="45">
        <f t="shared" si="3"/>
        <v>0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108"/>
      <c r="B31" s="67"/>
      <c r="C31" s="26" t="str">
        <f t="shared" si="0"/>
        <v/>
      </c>
      <c r="D31" s="71"/>
      <c r="E31" s="26" t="str">
        <f t="shared" si="1"/>
        <v/>
      </c>
      <c r="F31" s="45">
        <f t="shared" si="3"/>
        <v>0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108"/>
      <c r="B32" s="67"/>
      <c r="C32" s="26" t="str">
        <f t="shared" si="0"/>
        <v/>
      </c>
      <c r="D32" s="71"/>
      <c r="E32" s="26" t="str">
        <f t="shared" si="1"/>
        <v/>
      </c>
      <c r="F32" s="45">
        <f t="shared" si="3"/>
        <v>0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108"/>
      <c r="B33" s="67"/>
      <c r="C33" s="26" t="str">
        <f t="shared" si="0"/>
        <v/>
      </c>
      <c r="D33" s="71"/>
      <c r="E33" s="26" t="str">
        <f t="shared" si="1"/>
        <v/>
      </c>
      <c r="F33" s="45">
        <f t="shared" si="3"/>
        <v>0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108"/>
      <c r="B34" s="67"/>
      <c r="C34" s="26" t="str">
        <f t="shared" si="0"/>
        <v/>
      </c>
      <c r="D34" s="71"/>
      <c r="E34" s="26" t="str">
        <f t="shared" si="1"/>
        <v/>
      </c>
      <c r="F34" s="45">
        <f t="shared" si="3"/>
        <v>0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108"/>
      <c r="B35" s="67"/>
      <c r="C35" s="26" t="str">
        <f t="shared" si="0"/>
        <v/>
      </c>
      <c r="D35" s="71"/>
      <c r="E35" s="26" t="str">
        <f t="shared" si="1"/>
        <v/>
      </c>
      <c r="F35" s="45">
        <f t="shared" si="3"/>
        <v>0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108"/>
      <c r="B36" s="67"/>
      <c r="C36" s="26" t="str">
        <f t="shared" si="0"/>
        <v/>
      </c>
      <c r="D36" s="71"/>
      <c r="E36" s="26" t="str">
        <f t="shared" si="1"/>
        <v/>
      </c>
      <c r="F36" s="45">
        <f t="shared" si="3"/>
        <v>0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108"/>
      <c r="B37" s="67"/>
      <c r="C37" s="26" t="str">
        <f t="shared" si="0"/>
        <v/>
      </c>
      <c r="D37" s="71"/>
      <c r="E37" s="26" t="str">
        <f t="shared" si="1"/>
        <v/>
      </c>
      <c r="F37" s="45">
        <f t="shared" si="3"/>
        <v>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108"/>
      <c r="B38" s="67"/>
      <c r="C38" s="26" t="str">
        <f t="shared" si="0"/>
        <v/>
      </c>
      <c r="D38" s="71"/>
      <c r="E38" s="26" t="str">
        <f t="shared" si="1"/>
        <v/>
      </c>
      <c r="F38" s="45">
        <f t="shared" si="3"/>
        <v>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108"/>
      <c r="B39" s="67"/>
      <c r="C39" s="26" t="str">
        <f t="shared" si="0"/>
        <v/>
      </c>
      <c r="D39" s="71"/>
      <c r="E39" s="26" t="str">
        <f t="shared" si="1"/>
        <v/>
      </c>
      <c r="F39" s="45">
        <f t="shared" si="3"/>
        <v>0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x14ac:dyDescent="0.25">
      <c r="A40" s="108"/>
      <c r="B40" s="67"/>
      <c r="C40" s="26" t="str">
        <f t="shared" si="0"/>
        <v/>
      </c>
      <c r="D40" s="71"/>
      <c r="E40" s="26" t="str">
        <f t="shared" si="1"/>
        <v/>
      </c>
      <c r="F40" s="45">
        <f t="shared" si="3"/>
        <v>0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8" x14ac:dyDescent="0.25">
      <c r="A41" s="112"/>
      <c r="B41" s="105"/>
      <c r="C41" s="26" t="str">
        <f t="shared" si="0"/>
        <v/>
      </c>
      <c r="D41" s="90"/>
      <c r="E41" s="26" t="str">
        <f t="shared" si="1"/>
        <v/>
      </c>
      <c r="F41" s="45">
        <f t="shared" si="3"/>
        <v>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</sheetData>
  <sheetProtection algorithmName="SHA-512" hashValue="aJv9RrSjQ/RSqsNVmMfXAGoKAcN41dWZGRWynQMXZAWS2u22Ml+vfQ96616iLOlInCvb6ba+pzmhFfRFjXjz+A==" saltValue="TpNEHg5B0PN1ToYUtqmXYw==" spinCount="100000" sheet="1" objects="1" scenarios="1" selectLockedCells="1"/>
  <mergeCells count="7">
    <mergeCell ref="B1:I2"/>
    <mergeCell ref="A10:A11"/>
    <mergeCell ref="B10:F11"/>
    <mergeCell ref="G10:G11"/>
    <mergeCell ref="C8:E9"/>
    <mergeCell ref="A8:A9"/>
    <mergeCell ref="F8:J9"/>
  </mergeCells>
  <conditionalFormatting sqref="C8 F8">
    <cfRule type="expression" dxfId="8" priority="20">
      <formula>$B$8&gt;$K$9</formula>
    </cfRule>
  </conditionalFormatting>
  <dataValidations count="1">
    <dataValidation type="whole" allowBlank="1" showInputMessage="1" showErrorMessage="1" error="Use somente números" sqref="B12:B41 D12:D41" xr:uid="{00000000-0002-0000-04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/>
  <dimension ref="A1:Z39"/>
  <sheetViews>
    <sheetView workbookViewId="0">
      <selection activeCell="A19" sqref="A19"/>
    </sheetView>
  </sheetViews>
  <sheetFormatPr defaultRowHeight="15" x14ac:dyDescent="0.25"/>
  <cols>
    <col min="1" max="1" width="46.42578125" customWidth="1"/>
    <col min="2" max="2" width="4.85546875" customWidth="1"/>
    <col min="3" max="3" width="3" customWidth="1"/>
    <col min="4" max="5" width="4.85546875" customWidth="1"/>
    <col min="6" max="6" width="1.28515625" customWidth="1"/>
    <col min="7" max="7" width="15.28515625" customWidth="1"/>
    <col min="8" max="8" width="4.85546875" customWidth="1"/>
    <col min="9" max="9" width="19.140625" customWidth="1"/>
  </cols>
  <sheetData>
    <row r="1" spans="1:26" ht="15" customHeight="1" x14ac:dyDescent="0.25">
      <c r="A1" s="113" t="s">
        <v>44</v>
      </c>
      <c r="B1" s="242" t="s">
        <v>111</v>
      </c>
      <c r="C1" s="242"/>
      <c r="D1" s="242"/>
      <c r="E1" s="242"/>
      <c r="F1" s="242"/>
      <c r="G1" s="242"/>
      <c r="H1" s="242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34 h 30 min</v>
      </c>
      <c r="B2" s="242"/>
      <c r="C2" s="242"/>
      <c r="D2" s="242"/>
      <c r="E2" s="242"/>
      <c r="F2" s="242"/>
      <c r="G2" s="242"/>
      <c r="H2" s="242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147"/>
      <c r="C3" s="147"/>
      <c r="D3" s="147"/>
      <c r="E3" s="147"/>
      <c r="F3" s="147"/>
      <c r="G3" s="147"/>
      <c r="H3" s="14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6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97"/>
      <c r="J5" s="97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97"/>
      <c r="J6" s="97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97"/>
      <c r="J7" s="97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/>
      <c r="B8" s="243" t="s">
        <v>76</v>
      </c>
      <c r="C8" s="243"/>
      <c r="D8" s="243"/>
      <c r="E8" s="243"/>
      <c r="F8" s="76">
        <f>SUM(F12:F34)</f>
        <v>120</v>
      </c>
      <c r="G8" s="243" t="str">
        <f>INT(F8/60) &amp; " h " &amp; F8-(INT(F8/60)*60) &amp; " min"</f>
        <v>2 h 0 min</v>
      </c>
      <c r="H8" s="249" t="str">
        <f>IF(F8&gt;K8,"Tempo total superior ao máximo semanal ("&amp;K8/60&amp;"h)","")</f>
        <v/>
      </c>
      <c r="I8" s="249"/>
      <c r="J8" s="249"/>
      <c r="K8" s="75">
        <f>VLOOKUP('Informações e Resumo'!$B$9,Auxiliar!$E$35:$F$37,2,FALSE)</f>
        <v>2400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121"/>
      <c r="B9" s="244"/>
      <c r="C9" s="244"/>
      <c r="D9" s="244"/>
      <c r="E9" s="244"/>
      <c r="F9" s="81"/>
      <c r="G9" s="243"/>
      <c r="H9" s="249"/>
      <c r="I9" s="249"/>
      <c r="J9" s="249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256" t="s">
        <v>89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x14ac:dyDescent="0.25">
      <c r="A11" s="25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122" t="s">
        <v>110</v>
      </c>
      <c r="B12" s="99">
        <v>2</v>
      </c>
      <c r="C12" s="119" t="str">
        <f>IF($A12="",""," h")</f>
        <v xml:space="preserve"> h</v>
      </c>
      <c r="D12" s="101">
        <v>0</v>
      </c>
      <c r="E12" s="119" t="str">
        <f>IF($A12="",""," min")</f>
        <v xml:space="preserve"> min</v>
      </c>
      <c r="F12" s="120">
        <f>(B12*60+D12)</f>
        <v>120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3"/>
      <c r="B13" s="67"/>
      <c r="C13" s="26" t="str">
        <f>IF($A13="",""," h")</f>
        <v/>
      </c>
      <c r="D13" s="71"/>
      <c r="E13" s="26" t="str">
        <f t="shared" ref="E13:E19" si="0">IF($A13="",""," min")</f>
        <v/>
      </c>
      <c r="F13" s="45">
        <f t="shared" ref="F13:F15" si="1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3"/>
      <c r="B14" s="67"/>
      <c r="C14" s="26" t="str">
        <f>IF($A14="",""," h")</f>
        <v/>
      </c>
      <c r="D14" s="71"/>
      <c r="E14" s="26" t="str">
        <f t="shared" si="0"/>
        <v/>
      </c>
      <c r="F14" s="45">
        <f t="shared" si="1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3"/>
      <c r="B15" s="67"/>
      <c r="C15" s="26" t="str">
        <f t="shared" ref="C15:C19" si="2">IF($A15="",""," h")</f>
        <v/>
      </c>
      <c r="D15" s="71"/>
      <c r="E15" s="26" t="str">
        <f t="shared" si="0"/>
        <v/>
      </c>
      <c r="F15" s="45">
        <f t="shared" si="1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3"/>
      <c r="B16" s="67"/>
      <c r="C16" s="26" t="str">
        <f t="shared" si="2"/>
        <v/>
      </c>
      <c r="D16" s="71"/>
      <c r="E16" s="26" t="str">
        <f t="shared" si="0"/>
        <v/>
      </c>
      <c r="F16" s="45">
        <f t="shared" ref="F16:F19" si="3">(B16*60+D16)</f>
        <v>0</v>
      </c>
      <c r="G16" s="11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3"/>
      <c r="B17" s="67"/>
      <c r="C17" s="26" t="str">
        <f t="shared" si="2"/>
        <v/>
      </c>
      <c r="D17" s="71"/>
      <c r="E17" s="26" t="str">
        <f t="shared" si="0"/>
        <v/>
      </c>
      <c r="F17" s="45">
        <f t="shared" si="3"/>
        <v>0</v>
      </c>
      <c r="G17" s="11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3"/>
      <c r="B18" s="67"/>
      <c r="C18" s="26" t="str">
        <f t="shared" si="2"/>
        <v/>
      </c>
      <c r="D18" s="71"/>
      <c r="E18" s="26" t="str">
        <f t="shared" si="0"/>
        <v/>
      </c>
      <c r="F18" s="45">
        <f t="shared" si="3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4"/>
      <c r="B19" s="105"/>
      <c r="C19" s="91" t="str">
        <f t="shared" si="2"/>
        <v/>
      </c>
      <c r="D19" s="90"/>
      <c r="E19" s="91" t="str">
        <f t="shared" si="0"/>
        <v/>
      </c>
      <c r="F19" s="11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A5Y6PSgAjjYJwZApvIov1GF4OrQcwlH3RWz7i44LArOB6RMMHrJ8Zm7wMoCoFY1WS4ean8rk0+20Xn3zup1BJw==" saltValue="yikHaqraCTZxZSM0cIgOIA==" spinCount="100000" sheet="1" objects="1" scenarios="1" selectLockedCells="1"/>
  <mergeCells count="7">
    <mergeCell ref="B1:H2"/>
    <mergeCell ref="B10:F11"/>
    <mergeCell ref="G10:G11"/>
    <mergeCell ref="A10:A11"/>
    <mergeCell ref="H8:J9"/>
    <mergeCell ref="G8:G9"/>
    <mergeCell ref="B8:E9"/>
  </mergeCells>
  <conditionalFormatting sqref="G8:H8">
    <cfRule type="expression" dxfId="7" priority="1">
      <formula>$F8&gt;$K8</formula>
    </cfRule>
  </conditionalFormatting>
  <conditionalFormatting sqref="H8">
    <cfRule type="expression" dxfId="6" priority="2">
      <formula>$T8&gt;($D8*2)</formula>
    </cfRule>
  </conditionalFormatting>
  <dataValidations count="1">
    <dataValidation type="whole" allowBlank="1" showInputMessage="1" showErrorMessage="1" error="Use somente números" sqref="B12:B19 D12:D19" xr:uid="{00000000-0002-0000-05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/>
  <dimension ref="A1:Z39"/>
  <sheetViews>
    <sheetView topLeftCell="A4" workbookViewId="0">
      <selection activeCell="A22" sqref="A22"/>
    </sheetView>
  </sheetViews>
  <sheetFormatPr defaultRowHeight="15" x14ac:dyDescent="0.25"/>
  <cols>
    <col min="1" max="1" width="25.42578125" customWidth="1"/>
    <col min="2" max="2" width="2.42578125" style="6" hidden="1" customWidth="1"/>
    <col min="3" max="3" width="44" customWidth="1"/>
    <col min="4" max="4" width="4.85546875" style="6" customWidth="1"/>
    <col min="5" max="5" width="3" style="7" customWidth="1"/>
    <col min="6" max="6" width="4.85546875" style="10" customWidth="1"/>
    <col min="7" max="7" width="4.85546875" customWidth="1"/>
    <col min="8" max="8" width="8.85546875" customWidth="1"/>
    <col min="9" max="9" width="0.7109375" customWidth="1"/>
    <col min="10" max="10" width="15.140625" customWidth="1"/>
    <col min="11" max="11" width="3.7109375" customWidth="1"/>
  </cols>
  <sheetData>
    <row r="1" spans="1:26" ht="15" customHeight="1" x14ac:dyDescent="0.25">
      <c r="A1" s="113" t="s">
        <v>44</v>
      </c>
      <c r="B1" s="50"/>
      <c r="C1" s="33"/>
      <c r="D1" s="242" t="s">
        <v>112</v>
      </c>
      <c r="E1" s="242"/>
      <c r="F1" s="242"/>
      <c r="G1" s="242"/>
      <c r="H1" s="242"/>
      <c r="I1" s="242"/>
      <c r="J1" s="242"/>
      <c r="K1" s="82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34 h 30 min</v>
      </c>
      <c r="B2" s="50"/>
      <c r="C2" s="33"/>
      <c r="D2" s="242"/>
      <c r="E2" s="242"/>
      <c r="F2" s="242"/>
      <c r="G2" s="242"/>
      <c r="H2" s="242"/>
      <c r="I2" s="242"/>
      <c r="J2" s="242"/>
      <c r="K2" s="82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50"/>
      <c r="C3" s="33"/>
      <c r="D3" s="147"/>
      <c r="E3" s="147"/>
      <c r="F3" s="147"/>
      <c r="G3" s="147"/>
      <c r="H3" s="147"/>
      <c r="I3" s="147"/>
      <c r="J3" s="147"/>
      <c r="K3" s="82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5" t="s">
        <v>74</v>
      </c>
      <c r="B4" s="50"/>
      <c r="C4" s="33"/>
      <c r="D4" s="147"/>
      <c r="E4" s="147"/>
      <c r="F4" s="147"/>
      <c r="G4" s="147"/>
      <c r="H4" s="147"/>
      <c r="I4" s="147"/>
      <c r="J4" s="147"/>
      <c r="K4" s="82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29" t="s">
        <v>119</v>
      </c>
      <c r="B5" s="50"/>
      <c r="C5" s="33"/>
      <c r="D5" s="147"/>
      <c r="E5" s="147"/>
      <c r="F5" s="147"/>
      <c r="G5" s="147"/>
      <c r="H5" s="147"/>
      <c r="I5" s="147"/>
      <c r="J5" s="147"/>
      <c r="K5" s="8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29" t="s">
        <v>120</v>
      </c>
      <c r="B6" s="50"/>
      <c r="C6" s="33"/>
      <c r="D6" s="147"/>
      <c r="E6" s="147"/>
      <c r="F6" s="147"/>
      <c r="G6" s="147"/>
      <c r="H6" s="147"/>
      <c r="I6" s="147"/>
      <c r="J6" s="147"/>
      <c r="K6" s="8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110" t="s">
        <v>104</v>
      </c>
      <c r="B7" s="50"/>
      <c r="C7" s="33"/>
      <c r="D7" s="147"/>
      <c r="E7" s="147"/>
      <c r="F7" s="147"/>
      <c r="G7" s="147"/>
      <c r="H7" s="147"/>
      <c r="I7" s="147"/>
      <c r="J7" s="147"/>
      <c r="K7" s="8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 t="s">
        <v>105</v>
      </c>
      <c r="B8" s="50"/>
      <c r="C8" s="33"/>
      <c r="D8" s="147"/>
      <c r="E8" s="147"/>
      <c r="F8" s="147"/>
      <c r="G8" s="147"/>
      <c r="H8" s="147"/>
      <c r="I8" s="147"/>
      <c r="J8" s="147"/>
      <c r="K8" s="8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33"/>
      <c r="B9" s="51">
        <f>SUM($B$13:$B$22)</f>
        <v>0</v>
      </c>
      <c r="C9" s="33"/>
      <c r="D9" s="243" t="s">
        <v>76</v>
      </c>
      <c r="E9" s="243"/>
      <c r="F9" s="243"/>
      <c r="G9" s="243" t="str">
        <f>INT(J9/60) &amp; " h " &amp; J9-(INT(J9/60)*60) &amp; " min"</f>
        <v>3 h 0 min</v>
      </c>
      <c r="H9" s="243"/>
      <c r="I9" s="33"/>
      <c r="J9" s="111">
        <f>SUM(I13:I37)</f>
        <v>180</v>
      </c>
      <c r="K9" s="8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customHeight="1" x14ac:dyDescent="0.3">
      <c r="A10" s="121"/>
      <c r="B10" s="51"/>
      <c r="C10" s="33"/>
      <c r="D10" s="244"/>
      <c r="E10" s="244"/>
      <c r="F10" s="244"/>
      <c r="G10" s="244"/>
      <c r="H10" s="244"/>
      <c r="I10" s="33"/>
      <c r="J10" s="33"/>
      <c r="K10" s="8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5">
      <c r="A11" s="256" t="s">
        <v>3</v>
      </c>
      <c r="B11" s="30"/>
      <c r="C11" s="256" t="s">
        <v>83</v>
      </c>
      <c r="D11" s="279" t="s">
        <v>85</v>
      </c>
      <c r="E11" s="280"/>
      <c r="F11" s="280"/>
      <c r="G11" s="280"/>
      <c r="H11" s="280"/>
      <c r="I11" s="281"/>
      <c r="J11" s="27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258"/>
      <c r="B12" s="30"/>
      <c r="C12" s="258"/>
      <c r="D12" s="272" t="s">
        <v>84</v>
      </c>
      <c r="E12" s="273"/>
      <c r="F12" s="273"/>
      <c r="G12" s="273"/>
      <c r="H12" s="40" t="s">
        <v>67</v>
      </c>
      <c r="I12" s="171"/>
      <c r="J12" s="27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6" t="s">
        <v>6</v>
      </c>
      <c r="B13" s="84">
        <f>IF(A13="","",VLOOKUP(A13,Auxiliar!$A$2:$C$16,3,FALSE))</f>
        <v>0</v>
      </c>
      <c r="C13" s="122" t="s">
        <v>86</v>
      </c>
      <c r="D13" s="67">
        <v>1</v>
      </c>
      <c r="E13" s="26" t="str">
        <f>IF($A13="",""," h")</f>
        <v xml:space="preserve"> h</v>
      </c>
      <c r="F13" s="71">
        <v>0</v>
      </c>
      <c r="G13" s="26" t="str">
        <f>IF($A13="",""," min")</f>
        <v xml:space="preserve"> min</v>
      </c>
      <c r="H13" s="52">
        <f>IF(A13="","",IF(AND($B13=0,$B$9&gt;0),0,VLOOKUP(A13,Auxiliar!$A$2:$B$16,2,FALSE)))</f>
        <v>4</v>
      </c>
      <c r="I13" s="120">
        <f>IF(A13="","",MIN((D13*60+F13),H13*60))</f>
        <v>60</v>
      </c>
      <c r="J13" s="11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7" t="s">
        <v>48</v>
      </c>
      <c r="B14" s="84">
        <f>IF(A14="","",VLOOKUP(A14,Auxiliar!$A$2:$C$16,3,FALSE))</f>
        <v>0</v>
      </c>
      <c r="C14" s="123" t="s">
        <v>87</v>
      </c>
      <c r="D14" s="67">
        <v>1</v>
      </c>
      <c r="E14" s="26" t="str">
        <f>IF($A14="",""," h")</f>
        <v xml:space="preserve"> h</v>
      </c>
      <c r="F14" s="71">
        <v>0</v>
      </c>
      <c r="G14" s="26" t="str">
        <f t="shared" ref="G14:G22" si="0">IF($A14="",""," min")</f>
        <v xml:space="preserve"> min</v>
      </c>
      <c r="H14" s="53">
        <f>IF(A14="","",IF(AND($B14=0,$B$9&gt;0),0,VLOOKUP(A14,Auxiliar!$A$2:$B$16,2,FALSE)))</f>
        <v>4</v>
      </c>
      <c r="I14" s="45">
        <f t="shared" ref="I14:I22" si="1">IF(A14="","",MIN((D14*60+F14),H14*60))</f>
        <v>60</v>
      </c>
      <c r="J14" s="116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7" t="s">
        <v>7</v>
      </c>
      <c r="B15" s="84">
        <f>IF(A15="","",VLOOKUP(A15,Auxiliar!$A$2:$C$16,3,FALSE))</f>
        <v>0</v>
      </c>
      <c r="C15" s="123" t="s">
        <v>90</v>
      </c>
      <c r="D15" s="67">
        <v>1</v>
      </c>
      <c r="E15" s="26" t="str">
        <f>IF($A15="",""," h")</f>
        <v xml:space="preserve"> h</v>
      </c>
      <c r="F15" s="71">
        <v>0</v>
      </c>
      <c r="G15" s="26" t="str">
        <f t="shared" si="0"/>
        <v xml:space="preserve"> min</v>
      </c>
      <c r="H15" s="53">
        <f>IF(A15="","",IF(AND($B15=0,$B$9&gt;0),0,VLOOKUP(A15,Auxiliar!$A$2:$B$16,2,FALSE)))</f>
        <v>4</v>
      </c>
      <c r="I15" s="45">
        <f t="shared" si="1"/>
        <v>60</v>
      </c>
      <c r="J15" s="116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7"/>
      <c r="B16" s="84" t="str">
        <f>IF(A16="","",VLOOKUP(A16,Auxiliar!$A$2:$C$16,3,FALSE))</f>
        <v/>
      </c>
      <c r="C16" s="123"/>
      <c r="D16" s="67"/>
      <c r="E16" s="26" t="str">
        <f t="shared" ref="E16:E22" si="2">IF($A16="",""," h")</f>
        <v/>
      </c>
      <c r="F16" s="71"/>
      <c r="G16" s="26" t="str">
        <f t="shared" si="0"/>
        <v/>
      </c>
      <c r="H16" s="53" t="str">
        <f>IF(A16="","",IF(AND($B16=0,$B$9&gt;0),0,VLOOKUP(A16,Auxiliar!$A$2:$B$16,2,FALSE)))</f>
        <v/>
      </c>
      <c r="I16" s="45" t="str">
        <f t="shared" si="1"/>
        <v/>
      </c>
      <c r="J16" s="116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7"/>
      <c r="B17" s="84" t="str">
        <f>IF(A17="","",VLOOKUP(A17,Auxiliar!$A$2:$C$16,3,FALSE))</f>
        <v/>
      </c>
      <c r="C17" s="123"/>
      <c r="D17" s="67"/>
      <c r="E17" s="26" t="str">
        <f t="shared" si="2"/>
        <v/>
      </c>
      <c r="F17" s="71"/>
      <c r="G17" s="26" t="str">
        <f t="shared" si="0"/>
        <v/>
      </c>
      <c r="H17" s="53" t="str">
        <f>IF(A17="","",IF(AND($B17=0,$B$9&gt;0),0,VLOOKUP(A17,Auxiliar!$A$2:$B$16,2,FALSE)))</f>
        <v/>
      </c>
      <c r="I17" s="45" t="str">
        <f t="shared" si="1"/>
        <v/>
      </c>
      <c r="J17" s="116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7"/>
      <c r="B18" s="84" t="str">
        <f>IF(A18="","",VLOOKUP(A18,Auxiliar!$A$2:$C$16,3,FALSE))</f>
        <v/>
      </c>
      <c r="C18" s="123"/>
      <c r="D18" s="67"/>
      <c r="E18" s="26" t="str">
        <f t="shared" si="2"/>
        <v/>
      </c>
      <c r="F18" s="71"/>
      <c r="G18" s="26" t="str">
        <f t="shared" si="0"/>
        <v/>
      </c>
      <c r="H18" s="53" t="str">
        <f>IF(A18="","",IF(AND($B18=0,$B$9&gt;0),0,VLOOKUP(A18,Auxiliar!$A$2:$B$16,2,FALSE)))</f>
        <v/>
      </c>
      <c r="I18" s="45" t="str">
        <f t="shared" si="1"/>
        <v/>
      </c>
      <c r="J18" s="11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7"/>
      <c r="B19" s="84" t="str">
        <f>IF(A19="","",VLOOKUP(A19,Auxiliar!$A$2:$C$16,3,FALSE))</f>
        <v/>
      </c>
      <c r="C19" s="123"/>
      <c r="D19" s="67"/>
      <c r="E19" s="26" t="str">
        <f t="shared" si="2"/>
        <v/>
      </c>
      <c r="F19" s="71"/>
      <c r="G19" s="26" t="str">
        <f t="shared" si="0"/>
        <v/>
      </c>
      <c r="H19" s="53" t="str">
        <f>IF(A19="","",IF(AND($B19=0,$B$9&gt;0),0,VLOOKUP(A19,Auxiliar!$A$2:$B$16,2,FALSE)))</f>
        <v/>
      </c>
      <c r="I19" s="45" t="str">
        <f t="shared" si="1"/>
        <v/>
      </c>
      <c r="J19" s="11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127"/>
      <c r="B20" s="84" t="str">
        <f>IF(A20="","",VLOOKUP(A20,Auxiliar!$A$2:$C$16,3,FALSE))</f>
        <v/>
      </c>
      <c r="C20" s="123"/>
      <c r="D20" s="67"/>
      <c r="E20" s="26" t="str">
        <f t="shared" si="2"/>
        <v/>
      </c>
      <c r="F20" s="71"/>
      <c r="G20" s="26" t="str">
        <f t="shared" si="0"/>
        <v/>
      </c>
      <c r="H20" s="53" t="str">
        <f>IF(A20="","",IF(AND($B20=0,$B$9&gt;0),0,VLOOKUP(A20,Auxiliar!$A$2:$B$16,2,FALSE)))</f>
        <v/>
      </c>
      <c r="I20" s="45" t="str">
        <f t="shared" si="1"/>
        <v/>
      </c>
      <c r="J20" s="116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127"/>
      <c r="B21" s="84" t="str">
        <f>IF(A21="","",VLOOKUP(A21,Auxiliar!$A$2:$C$16,3,FALSE))</f>
        <v/>
      </c>
      <c r="C21" s="123"/>
      <c r="D21" s="67"/>
      <c r="E21" s="26" t="str">
        <f t="shared" si="2"/>
        <v/>
      </c>
      <c r="F21" s="71"/>
      <c r="G21" s="26" t="str">
        <f t="shared" si="0"/>
        <v/>
      </c>
      <c r="H21" s="53" t="str">
        <f>IF(A21="","",IF(AND($B21=0,$B$9&gt;0),0,VLOOKUP(A21,Auxiliar!$A$2:$B$16,2,FALSE)))</f>
        <v/>
      </c>
      <c r="I21" s="45" t="str">
        <f t="shared" si="1"/>
        <v/>
      </c>
      <c r="J21" s="116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128"/>
      <c r="B22" s="84" t="str">
        <f>IF(A22="","",VLOOKUP(A22,Auxiliar!$A$2:$C$16,3,FALSE))</f>
        <v/>
      </c>
      <c r="C22" s="124"/>
      <c r="D22" s="105"/>
      <c r="E22" s="91" t="str">
        <f t="shared" si="2"/>
        <v/>
      </c>
      <c r="F22" s="90"/>
      <c r="G22" s="91" t="str">
        <f t="shared" si="0"/>
        <v/>
      </c>
      <c r="H22" s="125" t="str">
        <f>IF(A22="","",IF(AND($B22=0,$B$9&gt;0),0,VLOOKUP(A22,Auxiliar!$A$2:$B$16,2,FALSE)))</f>
        <v/>
      </c>
      <c r="I22" s="115" t="str">
        <f t="shared" si="1"/>
        <v/>
      </c>
      <c r="J22" s="116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84"/>
      <c r="C23" s="33"/>
      <c r="D23" s="84"/>
      <c r="E23" s="81"/>
      <c r="F23" s="85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84"/>
      <c r="C24" s="33"/>
      <c r="D24" s="84"/>
      <c r="E24" s="81"/>
      <c r="F24" s="8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84"/>
      <c r="C25" s="33"/>
      <c r="D25" s="84"/>
      <c r="E25" s="81"/>
      <c r="F25" s="85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84"/>
      <c r="C26" s="33"/>
      <c r="D26" s="84"/>
      <c r="E26" s="81"/>
      <c r="F26" s="85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84"/>
      <c r="C27" s="33"/>
      <c r="D27" s="84"/>
      <c r="E27" s="81"/>
      <c r="F27" s="8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84"/>
      <c r="C28" s="33"/>
      <c r="D28" s="84"/>
      <c r="E28" s="81"/>
      <c r="F28" s="8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84"/>
      <c r="C29" s="33"/>
      <c r="D29" s="84"/>
      <c r="E29" s="81"/>
      <c r="F29" s="8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84"/>
      <c r="C30" s="33"/>
      <c r="D30" s="84"/>
      <c r="E30" s="81"/>
      <c r="F30" s="8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84"/>
      <c r="C31" s="33"/>
      <c r="D31" s="84"/>
      <c r="E31" s="81"/>
      <c r="F31" s="8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84"/>
      <c r="C32" s="33"/>
      <c r="D32" s="84"/>
      <c r="E32" s="81"/>
      <c r="F32" s="8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84"/>
      <c r="C33" s="33"/>
      <c r="D33" s="84"/>
      <c r="E33" s="81"/>
      <c r="F33" s="8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33"/>
      <c r="B34" s="84"/>
      <c r="C34" s="33"/>
      <c r="D34" s="84"/>
      <c r="E34" s="81"/>
      <c r="F34" s="8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84"/>
      <c r="C35" s="33"/>
      <c r="D35" s="84"/>
      <c r="E35" s="81"/>
      <c r="F35" s="8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84"/>
      <c r="C36" s="33"/>
      <c r="D36" s="84"/>
      <c r="E36" s="81"/>
      <c r="F36" s="8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84"/>
      <c r="C37" s="33"/>
      <c r="D37" s="84"/>
      <c r="E37" s="81"/>
      <c r="F37" s="8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84"/>
      <c r="C38" s="33"/>
      <c r="D38" s="84"/>
      <c r="E38" s="81"/>
      <c r="F38" s="8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84"/>
      <c r="C39" s="33"/>
      <c r="D39" s="84"/>
      <c r="E39" s="81"/>
      <c r="F39" s="8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foDMLkPKxFSODeodiomOAqKDKfJPRgW8P1ktqDEKO3pUqbkFpSFst8tWPciTciib3z2yukvMda4xZdrhw7yiNA==" saltValue="J+yBweOH1sIVxpQ43zKXuw==" spinCount="100000" sheet="1" objects="1" scenarios="1" selectLockedCells="1"/>
  <mergeCells count="8">
    <mergeCell ref="D1:J2"/>
    <mergeCell ref="D9:F10"/>
    <mergeCell ref="G9:H10"/>
    <mergeCell ref="A11:A12"/>
    <mergeCell ref="C11:C12"/>
    <mergeCell ref="J11:J12"/>
    <mergeCell ref="D12:G12"/>
    <mergeCell ref="D11:I11"/>
  </mergeCells>
  <dataValidations count="3">
    <dataValidation allowBlank="1" showErrorMessage="1" prompt="Informar qual a atividade e/ou local de exercício" sqref="C13" xr:uid="{00000000-0002-0000-0600-000000000000}"/>
    <dataValidation type="list" allowBlank="1" showInputMessage="1" showErrorMessage="1" sqref="A13:A22" xr:uid="{00000000-0002-0000-0600-000001000000}">
      <formula1>Gestão</formula1>
    </dataValidation>
    <dataValidation type="whole" allowBlank="1" showInputMessage="1" showErrorMessage="1" error="Use somente números" sqref="D13:D22 F13:F22" xr:uid="{00000000-0002-0000-06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/>
  <dimension ref="A1:AC38"/>
  <sheetViews>
    <sheetView workbookViewId="0">
      <selection activeCell="D21" sqref="D21"/>
    </sheetView>
  </sheetViews>
  <sheetFormatPr defaultRowHeight="15" x14ac:dyDescent="0.25"/>
  <cols>
    <col min="1" max="1" width="38" customWidth="1"/>
    <col min="2" max="2" width="4.85546875" customWidth="1"/>
    <col min="3" max="3" width="3" customWidth="1"/>
    <col min="4" max="4" width="4.85546875" customWidth="1"/>
    <col min="5" max="5" width="3" customWidth="1"/>
    <col min="6" max="7" width="4.85546875" customWidth="1"/>
    <col min="8" max="8" width="3.85546875" customWidth="1"/>
  </cols>
  <sheetData>
    <row r="1" spans="1:29" ht="15" customHeight="1" x14ac:dyDescent="0.25">
      <c r="A1" s="113" t="s">
        <v>44</v>
      </c>
      <c r="B1" s="282" t="s">
        <v>97</v>
      </c>
      <c r="C1" s="282"/>
      <c r="D1" s="282"/>
      <c r="E1" s="282"/>
      <c r="F1" s="282"/>
      <c r="G1" s="282"/>
      <c r="H1" s="282"/>
      <c r="I1" s="282"/>
      <c r="J1" s="81"/>
      <c r="K1" s="81"/>
      <c r="L1" s="82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34 h 30 min</v>
      </c>
      <c r="B2" s="282"/>
      <c r="C2" s="282"/>
      <c r="D2" s="282"/>
      <c r="E2" s="282"/>
      <c r="F2" s="282"/>
      <c r="G2" s="282"/>
      <c r="H2" s="282"/>
      <c r="I2" s="282"/>
      <c r="J2" s="81"/>
      <c r="K2" s="81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x14ac:dyDescent="0.25">
      <c r="A4" s="145" t="s">
        <v>121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x14ac:dyDescent="0.25">
      <c r="A5" s="146" t="s">
        <v>122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x14ac:dyDescent="0.25">
      <c r="A6" s="110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.75" x14ac:dyDescent="0.25">
      <c r="A8" s="34"/>
      <c r="B8" s="34"/>
      <c r="C8" s="34"/>
      <c r="D8" s="34"/>
      <c r="E8" s="138" t="s">
        <v>79</v>
      </c>
      <c r="F8" s="75">
        <f>VLOOKUP('Informações e Resumo'!$B$9,Auxiliar!$E$35:$F$37,2,FALSE)/10</f>
        <v>240</v>
      </c>
      <c r="G8" s="139" t="str">
        <f>INT(F8/60) &amp; " h " &amp; F8-(INT(F8/60)*60) &amp; " min"</f>
        <v>4 h 0 min</v>
      </c>
      <c r="H8" s="33"/>
      <c r="I8" s="33"/>
      <c r="J8" s="33"/>
      <c r="K8" s="33"/>
      <c r="L8" s="34"/>
      <c r="M8" s="34"/>
      <c r="N8" s="34"/>
      <c r="O8" s="139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.75" x14ac:dyDescent="0.25">
      <c r="A9" s="34"/>
      <c r="B9" s="34"/>
      <c r="C9" s="34"/>
      <c r="D9" s="34"/>
      <c r="E9" s="140" t="s">
        <v>56</v>
      </c>
      <c r="F9" s="144">
        <f>SUM(H14:H21)</f>
        <v>190</v>
      </c>
      <c r="G9" s="141" t="str">
        <f>INT(F9/60) &amp; " h " &amp; F9-(INT(F9/60)*60) &amp; " min"</f>
        <v>3 h 10 min</v>
      </c>
      <c r="H9" s="33"/>
      <c r="I9" s="33"/>
      <c r="J9" s="33"/>
      <c r="K9" s="33"/>
      <c r="L9" s="130"/>
      <c r="M9" s="130"/>
      <c r="N9" s="130"/>
      <c r="O9" s="14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.75" x14ac:dyDescent="0.25">
      <c r="A10" s="34"/>
      <c r="B10" s="34"/>
      <c r="C10" s="34"/>
      <c r="D10" s="34"/>
      <c r="E10" s="142" t="s">
        <v>55</v>
      </c>
      <c r="F10" s="144">
        <f>MIN(F8,F9)</f>
        <v>190</v>
      </c>
      <c r="G10" s="143" t="str">
        <f>INT(F10/60) &amp; " h " &amp; F10-(INT(F10/60)*60) &amp; " min"</f>
        <v>3 h 10 min</v>
      </c>
      <c r="H10" s="33"/>
      <c r="I10" s="33"/>
      <c r="J10" s="33"/>
      <c r="K10" s="33"/>
      <c r="L10" s="130"/>
      <c r="M10" s="130"/>
      <c r="N10" s="130"/>
      <c r="O10" s="14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15.75" x14ac:dyDescent="0.25">
      <c r="A11" s="109"/>
      <c r="B11" s="109"/>
      <c r="C11" s="109"/>
      <c r="D11" s="109"/>
      <c r="E11" s="109"/>
      <c r="F11" s="130"/>
      <c r="G11" s="130"/>
      <c r="H11" s="130"/>
      <c r="I11" s="130"/>
      <c r="J11" s="130"/>
      <c r="K11" s="130"/>
      <c r="L11" s="130"/>
      <c r="M11" s="130"/>
      <c r="N11" s="130"/>
      <c r="O11" s="77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15" customHeight="1" x14ac:dyDescent="0.25">
      <c r="A12" s="279" t="s">
        <v>77</v>
      </c>
      <c r="B12" s="280"/>
      <c r="C12" s="281"/>
      <c r="D12" s="269" t="s">
        <v>75</v>
      </c>
      <c r="E12" s="270"/>
      <c r="F12" s="270"/>
      <c r="G12" s="270"/>
      <c r="H12" s="271"/>
      <c r="I12" s="137"/>
      <c r="J12" s="137"/>
      <c r="K12" s="137"/>
      <c r="L12" s="35"/>
      <c r="M12" s="35"/>
      <c r="N12" s="35"/>
      <c r="O12" s="149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ht="15" customHeight="1" x14ac:dyDescent="0.25">
      <c r="A13" s="283"/>
      <c r="B13" s="284"/>
      <c r="C13" s="285"/>
      <c r="D13" s="272"/>
      <c r="E13" s="273"/>
      <c r="F13" s="273"/>
      <c r="G13" s="273"/>
      <c r="H13" s="274"/>
      <c r="I13" s="137"/>
      <c r="J13" s="137"/>
      <c r="K13" s="137"/>
      <c r="L13" s="35"/>
      <c r="M13" s="35"/>
      <c r="N13" s="35"/>
      <c r="O13" s="149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286" t="s">
        <v>93</v>
      </c>
      <c r="B14" s="287"/>
      <c r="C14" s="288"/>
      <c r="D14" s="99">
        <v>2</v>
      </c>
      <c r="E14" s="100" t="str">
        <f t="shared" ref="E14:E21" si="0">IF($A14="",""," h")</f>
        <v xml:space="preserve"> h</v>
      </c>
      <c r="F14" s="134">
        <v>0</v>
      </c>
      <c r="G14" s="100" t="str">
        <f t="shared" ref="G14:G21" si="1">IF($A14="",""," min")</f>
        <v xml:space="preserve"> min</v>
      </c>
      <c r="H14" s="131">
        <f t="shared" ref="H14:H21" si="2">(60*D14+F14)</f>
        <v>120</v>
      </c>
      <c r="I14" s="33"/>
      <c r="J14" s="33"/>
      <c r="K14" s="33"/>
      <c r="L14" s="34"/>
      <c r="M14" s="34"/>
      <c r="N14" s="34"/>
      <c r="O14" s="150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292" t="s">
        <v>94</v>
      </c>
      <c r="B15" s="293"/>
      <c r="C15" s="294"/>
      <c r="D15" s="67">
        <v>1</v>
      </c>
      <c r="E15" s="18" t="str">
        <f t="shared" si="0"/>
        <v xml:space="preserve"> h</v>
      </c>
      <c r="F15" s="135">
        <v>10</v>
      </c>
      <c r="G15" s="18" t="str">
        <f t="shared" si="1"/>
        <v xml:space="preserve"> min</v>
      </c>
      <c r="H15" s="132">
        <f t="shared" si="2"/>
        <v>70</v>
      </c>
      <c r="I15" s="33"/>
      <c r="J15" s="33"/>
      <c r="K15" s="33"/>
      <c r="L15" s="34"/>
      <c r="M15" s="34"/>
      <c r="N15" s="34"/>
      <c r="O15" s="150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292"/>
      <c r="B16" s="293"/>
      <c r="C16" s="294"/>
      <c r="D16" s="67"/>
      <c r="E16" s="18" t="str">
        <f t="shared" si="0"/>
        <v/>
      </c>
      <c r="F16" s="135"/>
      <c r="G16" s="18" t="str">
        <f t="shared" si="1"/>
        <v/>
      </c>
      <c r="H16" s="132">
        <f t="shared" si="2"/>
        <v>0</v>
      </c>
      <c r="I16" s="33"/>
      <c r="J16" s="33"/>
      <c r="K16" s="33"/>
      <c r="L16" s="34"/>
      <c r="M16" s="34"/>
      <c r="N16" s="34"/>
      <c r="O16" s="15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292"/>
      <c r="B17" s="293"/>
      <c r="C17" s="294"/>
      <c r="D17" s="67"/>
      <c r="E17" s="18" t="str">
        <f t="shared" si="0"/>
        <v/>
      </c>
      <c r="F17" s="135"/>
      <c r="G17" s="18" t="str">
        <f t="shared" si="1"/>
        <v/>
      </c>
      <c r="H17" s="132">
        <f t="shared" si="2"/>
        <v>0</v>
      </c>
      <c r="I17" s="33"/>
      <c r="J17" s="33"/>
      <c r="K17" s="33"/>
      <c r="L17" s="34"/>
      <c r="M17" s="34"/>
      <c r="N17" s="34"/>
      <c r="O17" s="1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292"/>
      <c r="B18" s="293"/>
      <c r="C18" s="294"/>
      <c r="D18" s="67"/>
      <c r="E18" s="18" t="str">
        <f t="shared" si="0"/>
        <v/>
      </c>
      <c r="F18" s="135"/>
      <c r="G18" s="18" t="str">
        <f t="shared" si="1"/>
        <v/>
      </c>
      <c r="H18" s="132">
        <f t="shared" si="2"/>
        <v>0</v>
      </c>
      <c r="I18" s="33"/>
      <c r="J18" s="33"/>
      <c r="K18" s="33"/>
      <c r="L18" s="34"/>
      <c r="M18" s="34"/>
      <c r="N18" s="34"/>
      <c r="O18" s="15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292"/>
      <c r="B19" s="293"/>
      <c r="C19" s="294"/>
      <c r="D19" s="67"/>
      <c r="E19" s="18" t="str">
        <f t="shared" si="0"/>
        <v/>
      </c>
      <c r="F19" s="135"/>
      <c r="G19" s="18" t="str">
        <f t="shared" si="1"/>
        <v/>
      </c>
      <c r="H19" s="132">
        <f t="shared" si="2"/>
        <v>0</v>
      </c>
      <c r="I19" s="33"/>
      <c r="J19" s="33"/>
      <c r="K19" s="33"/>
      <c r="L19" s="34"/>
      <c r="M19" s="34"/>
      <c r="N19" s="34"/>
      <c r="O19" s="1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292"/>
      <c r="B20" s="293"/>
      <c r="C20" s="294"/>
      <c r="D20" s="67"/>
      <c r="E20" s="18" t="str">
        <f t="shared" si="0"/>
        <v/>
      </c>
      <c r="F20" s="135"/>
      <c r="G20" s="18" t="str">
        <f t="shared" si="1"/>
        <v/>
      </c>
      <c r="H20" s="132">
        <f t="shared" si="2"/>
        <v>0</v>
      </c>
      <c r="I20" s="33"/>
      <c r="J20" s="33"/>
      <c r="K20" s="33"/>
      <c r="L20" s="34"/>
      <c r="M20" s="34"/>
      <c r="N20" s="34"/>
      <c r="O20" s="150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289"/>
      <c r="B21" s="290"/>
      <c r="C21" s="291"/>
      <c r="D21" s="105"/>
      <c r="E21" s="106" t="str">
        <f t="shared" si="0"/>
        <v/>
      </c>
      <c r="F21" s="136"/>
      <c r="G21" s="106" t="str">
        <f t="shared" si="1"/>
        <v/>
      </c>
      <c r="H21" s="133">
        <f t="shared" si="2"/>
        <v>0</v>
      </c>
      <c r="I21" s="33"/>
      <c r="J21" s="33"/>
      <c r="K21" s="33"/>
      <c r="L21" s="34"/>
      <c r="M21" s="34"/>
      <c r="N21" s="34"/>
      <c r="O21" s="150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</sheetData>
  <sheetProtection algorithmName="SHA-512" hashValue="9qzQU77/YvmyG8d9UM1gaAKi4762kC95mB7v7HoB5m0W9gl6O2Ao2tryd1pwdtjsPs17zfRcKJDgds8S7iaJyw==" saltValue="Vb6VMBuF/UtRG/jbQHTsnQ==" spinCount="100000" sheet="1" objects="1" scenarios="1" selectLockedCells="1"/>
  <mergeCells count="11">
    <mergeCell ref="B1:I2"/>
    <mergeCell ref="A12:C13"/>
    <mergeCell ref="A14:C14"/>
    <mergeCell ref="D12:H13"/>
    <mergeCell ref="A21:C21"/>
    <mergeCell ref="A19:C19"/>
    <mergeCell ref="A20:C20"/>
    <mergeCell ref="A17:C17"/>
    <mergeCell ref="A18:C18"/>
    <mergeCell ref="A15:C15"/>
    <mergeCell ref="A16:C16"/>
  </mergeCells>
  <conditionalFormatting sqref="G9:G10">
    <cfRule type="expression" dxfId="5" priority="1">
      <formula>#REF!&gt;#REF!</formula>
    </cfRule>
  </conditionalFormatting>
  <conditionalFormatting sqref="O11">
    <cfRule type="expression" dxfId="4" priority="22">
      <formula>#REF!&gt;#REF!</formula>
    </cfRule>
  </conditionalFormatting>
  <dataValidations count="1">
    <dataValidation type="whole" allowBlank="1" showInputMessage="1" showErrorMessage="1" error="Use somente números" sqref="D14:D21 F14:F21" xr:uid="{00000000-0002-0000-07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workbookViewId="0">
      <selection activeCell="H18" sqref="H18"/>
    </sheetView>
  </sheetViews>
  <sheetFormatPr defaultRowHeight="15" x14ac:dyDescent="0.25"/>
  <cols>
    <col min="1" max="1" width="46.42578125" customWidth="1"/>
    <col min="2" max="2" width="15.85546875" customWidth="1"/>
    <col min="3" max="3" width="5" customWidth="1"/>
    <col min="4" max="4" width="17.42578125" customWidth="1"/>
    <col min="5" max="5" width="4.85546875" customWidth="1"/>
    <col min="6" max="6" width="3" customWidth="1"/>
    <col min="7" max="8" width="4.85546875" customWidth="1"/>
    <col min="9" max="9" width="1.28515625" customWidth="1"/>
    <col min="10" max="10" width="15.28515625" customWidth="1"/>
    <col min="11" max="11" width="4.85546875" customWidth="1"/>
    <col min="12" max="12" width="19.140625" customWidth="1"/>
  </cols>
  <sheetData>
    <row r="1" spans="1:29" ht="15" customHeight="1" x14ac:dyDescent="0.25">
      <c r="A1" s="113" t="s">
        <v>44</v>
      </c>
      <c r="B1" s="113"/>
      <c r="C1" s="242" t="s">
        <v>124</v>
      </c>
      <c r="D1" s="242"/>
      <c r="E1" s="242"/>
      <c r="F1" s="242"/>
      <c r="G1" s="242"/>
      <c r="H1" s="242"/>
      <c r="I1" s="242"/>
      <c r="J1" s="242"/>
      <c r="K1" s="242"/>
      <c r="L1" s="97"/>
      <c r="M1" s="97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34 h 30 min</v>
      </c>
      <c r="B2" s="114"/>
      <c r="C2" s="242"/>
      <c r="D2" s="242"/>
      <c r="E2" s="242"/>
      <c r="F2" s="242"/>
      <c r="G2" s="242"/>
      <c r="H2" s="242"/>
      <c r="I2" s="242"/>
      <c r="J2" s="242"/>
      <c r="K2" s="242"/>
      <c r="L2" s="97"/>
      <c r="M2" s="97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5" customHeight="1" x14ac:dyDescent="0.25">
      <c r="A3" s="114"/>
      <c r="B3" s="114"/>
      <c r="C3" s="114"/>
      <c r="D3" s="114"/>
      <c r="E3" s="147"/>
      <c r="F3" s="147"/>
      <c r="G3" s="147"/>
      <c r="H3" s="147"/>
      <c r="I3" s="147"/>
      <c r="J3" s="147"/>
      <c r="K3" s="147"/>
      <c r="L3" s="97"/>
      <c r="M3" s="97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15" customHeight="1" x14ac:dyDescent="0.25">
      <c r="A4" s="35" t="s">
        <v>74</v>
      </c>
      <c r="B4" s="35"/>
      <c r="C4" s="35"/>
      <c r="D4" s="35"/>
      <c r="E4" s="147"/>
      <c r="F4" s="147"/>
      <c r="G4" s="147"/>
      <c r="H4" s="147"/>
      <c r="I4" s="147"/>
      <c r="J4" s="147"/>
      <c r="K4" s="147"/>
      <c r="L4" s="97"/>
      <c r="M4" s="9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15" customHeight="1" x14ac:dyDescent="0.25">
      <c r="A5" s="109" t="s">
        <v>138</v>
      </c>
      <c r="B5" s="109"/>
      <c r="C5" s="109"/>
      <c r="D5" s="109"/>
      <c r="E5" s="147"/>
      <c r="F5" s="147"/>
      <c r="G5" s="147"/>
      <c r="H5" s="147"/>
      <c r="I5" s="147"/>
      <c r="J5" s="147"/>
      <c r="K5" s="147"/>
      <c r="L5" s="97"/>
      <c r="M5" s="97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ht="15" customHeight="1" x14ac:dyDescent="0.25">
      <c r="A6" s="109" t="s">
        <v>200</v>
      </c>
      <c r="B6" s="109"/>
      <c r="C6" s="109"/>
      <c r="D6" s="109"/>
      <c r="E6" s="147"/>
      <c r="F6" s="147"/>
      <c r="G6" s="147"/>
      <c r="H6" s="147"/>
      <c r="I6" s="147"/>
      <c r="J6" s="147"/>
      <c r="K6" s="147"/>
      <c r="L6" s="97"/>
      <c r="M6" s="97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ht="15" customHeight="1" x14ac:dyDescent="0.25">
      <c r="A7" s="110" t="s">
        <v>199</v>
      </c>
      <c r="B7" s="34"/>
      <c r="C7" s="34"/>
      <c r="D7" s="34"/>
      <c r="E7" s="147"/>
      <c r="F7" s="147"/>
      <c r="G7" s="147"/>
      <c r="H7" s="147"/>
      <c r="I7" s="147"/>
      <c r="J7" s="147"/>
      <c r="K7" s="147"/>
      <c r="L7" s="97"/>
      <c r="M7" s="97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" customHeight="1" x14ac:dyDescent="0.25">
      <c r="A8" s="33" t="s">
        <v>105</v>
      </c>
      <c r="B8" s="33"/>
      <c r="C8" s="33"/>
      <c r="D8" s="33"/>
      <c r="E8" s="147"/>
      <c r="F8" s="147"/>
      <c r="G8" s="147"/>
      <c r="H8" s="147"/>
      <c r="I8" s="147"/>
      <c r="J8" s="147"/>
      <c r="K8" s="147"/>
      <c r="L8" s="97"/>
      <c r="M8" s="97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" customHeight="1" x14ac:dyDescent="0.25">
      <c r="A9" s="33"/>
      <c r="B9" s="33"/>
      <c r="C9" s="33"/>
      <c r="D9" s="33"/>
      <c r="E9" s="243" t="s">
        <v>76</v>
      </c>
      <c r="F9" s="243"/>
      <c r="G9" s="243"/>
      <c r="H9" s="243"/>
      <c r="I9" s="76">
        <f>SUM(I13:I30)</f>
        <v>0</v>
      </c>
      <c r="J9" s="243" t="str">
        <f>INT(I9/60) &amp; " h " &amp; I9-(INT(I9/60)*60) &amp; " min"</f>
        <v>0 h 0 min</v>
      </c>
      <c r="K9" s="249" t="str">
        <f>IF(I9&gt;N9,"Tempo total superior ao máximo semanal ("&amp;N9/60&amp;"h)","")</f>
        <v/>
      </c>
      <c r="L9" s="249"/>
      <c r="M9" s="249"/>
      <c r="N9" s="75">
        <f>VLOOKUP('Informações e Resumo'!$B$9,Auxiliar!$E$35:$F$37,2,FALSE)</f>
        <v>2400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" customHeight="1" x14ac:dyDescent="0.3">
      <c r="A10" s="121"/>
      <c r="B10" s="121"/>
      <c r="C10" s="121"/>
      <c r="D10" s="121"/>
      <c r="E10" s="244"/>
      <c r="F10" s="244"/>
      <c r="G10" s="244"/>
      <c r="H10" s="244"/>
      <c r="I10" s="81"/>
      <c r="J10" s="243"/>
      <c r="K10" s="249"/>
      <c r="L10" s="249"/>
      <c r="M10" s="249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25">
      <c r="A11" s="256" t="s">
        <v>3</v>
      </c>
      <c r="B11" s="265" t="s">
        <v>198</v>
      </c>
      <c r="C11" s="296"/>
      <c r="D11" s="297"/>
      <c r="E11" s="269" t="s">
        <v>85</v>
      </c>
      <c r="F11" s="270"/>
      <c r="G11" s="270"/>
      <c r="H11" s="270"/>
      <c r="I11" s="271"/>
      <c r="J11" s="295">
        <f>SUM(J13:J15)</f>
        <v>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x14ac:dyDescent="0.25">
      <c r="A12" s="258"/>
      <c r="B12" s="298"/>
      <c r="C12" s="299"/>
      <c r="D12" s="300"/>
      <c r="E12" s="272"/>
      <c r="F12" s="273"/>
      <c r="G12" s="273"/>
      <c r="H12" s="273"/>
      <c r="I12" s="274"/>
      <c r="J12" s="29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x14ac:dyDescent="0.25">
      <c r="A13" s="122"/>
      <c r="B13" s="206"/>
      <c r="C13" s="209" t="str">
        <f>IF(A13="","","a")</f>
        <v/>
      </c>
      <c r="D13" s="206"/>
      <c r="E13" s="99"/>
      <c r="F13" s="119" t="str">
        <f>IF($A13="",""," h")</f>
        <v/>
      </c>
      <c r="G13" s="101"/>
      <c r="H13" s="119" t="str">
        <f>IF($A13="",""," min")</f>
        <v/>
      </c>
      <c r="I13" s="120">
        <f>(E13*60+G13)</f>
        <v>0</v>
      </c>
      <c r="J13" s="148" t="str">
        <f>IF(A13="","",VLOOKUP($A13,Auxiliar!$H$14:$I$26,2,FALSE))</f>
        <v/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123"/>
      <c r="B14" s="207"/>
      <c r="C14" s="210" t="str">
        <f t="shared" ref="C14:C15" si="0">IF(A14="","","a")</f>
        <v/>
      </c>
      <c r="D14" s="207"/>
      <c r="E14" s="67"/>
      <c r="F14" s="26" t="str">
        <f>IF($A14="",""," h")</f>
        <v/>
      </c>
      <c r="G14" s="71"/>
      <c r="H14" s="26" t="str">
        <f t="shared" ref="H14:H15" si="1">IF($A14="",""," min")</f>
        <v/>
      </c>
      <c r="I14" s="45">
        <f t="shared" ref="I14:I15" si="2">(E14*60+G14)</f>
        <v>0</v>
      </c>
      <c r="J14" s="148" t="str">
        <f>IF(A14="","",VLOOKUP($A14,Auxiliar!$H$14:$I$26,2,FALSE))</f>
        <v/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124"/>
      <c r="B15" s="208"/>
      <c r="C15" s="211" t="str">
        <f t="shared" si="0"/>
        <v/>
      </c>
      <c r="D15" s="208"/>
      <c r="E15" s="105"/>
      <c r="F15" s="91" t="str">
        <f>IF($A15="",""," h")</f>
        <v/>
      </c>
      <c r="G15" s="90"/>
      <c r="H15" s="91" t="str">
        <f t="shared" si="1"/>
        <v/>
      </c>
      <c r="I15" s="115">
        <f t="shared" si="2"/>
        <v>0</v>
      </c>
      <c r="J15" s="148" t="str">
        <f>IF(A15="","",VLOOKUP($A15,Auxiliar!$H$14:$I$26,2,FALSE))</f>
        <v/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</sheetData>
  <sheetProtection selectLockedCells="1"/>
  <mergeCells count="8">
    <mergeCell ref="C1:K2"/>
    <mergeCell ref="E9:H10"/>
    <mergeCell ref="J9:J10"/>
    <mergeCell ref="K9:M10"/>
    <mergeCell ref="A11:A12"/>
    <mergeCell ref="E11:I12"/>
    <mergeCell ref="J11:J12"/>
    <mergeCell ref="B11:D12"/>
  </mergeCells>
  <conditionalFormatting sqref="J9:K9">
    <cfRule type="expression" dxfId="3" priority="1">
      <formula>$I9&gt;$N9</formula>
    </cfRule>
  </conditionalFormatting>
  <conditionalFormatting sqref="K9">
    <cfRule type="expression" dxfId="2" priority="2">
      <formula>$W9&gt;($G9*2)</formula>
    </cfRule>
  </conditionalFormatting>
  <dataValidations count="2">
    <dataValidation allowBlank="1" showInputMessage="1" showErrorMessage="1" error="Use somente números" sqref="E13:E15 G13:G15" xr:uid="{00000000-0002-0000-0800-000000000000}"/>
    <dataValidation type="list" allowBlank="1" showInputMessage="1" showErrorMessage="1" sqref="A13:A15" xr:uid="{00000000-0002-0000-0800-000001000000}">
      <formula1>Afastamentos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Informações e Resumo</vt:lpstr>
      <vt:lpstr>Aulas</vt:lpstr>
      <vt:lpstr>Projetos de Ensino</vt:lpstr>
      <vt:lpstr>Orientações</vt:lpstr>
      <vt:lpstr>Pesquisa</vt:lpstr>
      <vt:lpstr>Extensão</vt:lpstr>
      <vt:lpstr>Gestão</vt:lpstr>
      <vt:lpstr>Outras</vt:lpstr>
      <vt:lpstr>Afastamentos</vt:lpstr>
      <vt:lpstr>Auxiliar</vt:lpstr>
      <vt:lpstr>Remuneradas</vt:lpstr>
      <vt:lpstr>Observações</vt:lpstr>
      <vt:lpstr>Compilado</vt:lpstr>
      <vt:lpstr>Afastamentos</vt:lpstr>
      <vt:lpstr>Compilado!Area_de_impressao</vt:lpstr>
      <vt:lpstr>'Informações e Resumo'!Area_de_impressao</vt:lpstr>
      <vt:lpstr>Cargo</vt:lpstr>
      <vt:lpstr>Cargos</vt:lpstr>
      <vt:lpstr>Disciplinas</vt:lpstr>
      <vt:lpstr>Gestão</vt:lpstr>
      <vt:lpstr>Gestão_cargos</vt:lpstr>
      <vt:lpstr>Orientação_Tipo</vt:lpstr>
      <vt:lpstr>Orientações</vt:lpstr>
      <vt:lpstr>Regimes</vt:lpstr>
      <vt:lpstr>Compilado!Titulos_de_impressao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Wilhiam Anselmo da Silva</cp:lastModifiedBy>
  <cp:lastPrinted>2024-08-01T20:01:26Z</cp:lastPrinted>
  <dcterms:created xsi:type="dcterms:W3CDTF">2017-05-05T17:23:05Z</dcterms:created>
  <dcterms:modified xsi:type="dcterms:W3CDTF">2025-10-23T16:30:19Z</dcterms:modified>
</cp:coreProperties>
</file>